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3 сесія\проекти\3\6. фінансові питання\1. внесення змін до бюджету 2021\"/>
    </mc:Choice>
  </mc:AlternateContent>
  <bookViews>
    <workbookView xWindow="0" yWindow="0" windowWidth="20490" windowHeight="7620" tabRatio="754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(2)'!$A$1:$P$391</definedName>
  </definedNames>
  <calcPr calcId="162913" fullCalcOnLoad="1"/>
</workbook>
</file>

<file path=xl/calcChain.xml><?xml version="1.0" encoding="utf-8"?>
<calcChain xmlns="http://schemas.openxmlformats.org/spreadsheetml/2006/main">
  <c r="F287" i="8" l="1"/>
  <c r="F296" i="8"/>
  <c r="L38" i="8"/>
  <c r="L16" i="8"/>
  <c r="L14" i="8"/>
  <c r="L388" i="8"/>
  <c r="K244" i="8"/>
  <c r="F244" i="8"/>
  <c r="F257" i="8"/>
  <c r="K349" i="8"/>
  <c r="K352" i="8"/>
  <c r="K50" i="8"/>
  <c r="F50" i="8"/>
  <c r="O69" i="8"/>
  <c r="O70" i="8"/>
  <c r="O72" i="8"/>
  <c r="O50" i="8"/>
  <c r="J69" i="8"/>
  <c r="J70" i="8"/>
  <c r="J71" i="8"/>
  <c r="J72" i="8"/>
  <c r="J50" i="8"/>
  <c r="E72" i="8"/>
  <c r="P72" i="8"/>
  <c r="P50" i="8"/>
  <c r="L37" i="8"/>
  <c r="K331" i="8"/>
  <c r="K303" i="8"/>
  <c r="K274" i="8"/>
  <c r="K272" i="8"/>
  <c r="K317" i="8"/>
  <c r="O317" i="8"/>
  <c r="J317" i="8"/>
  <c r="K356" i="8"/>
  <c r="K330" i="8"/>
  <c r="O330" i="8"/>
  <c r="J330" i="8"/>
  <c r="P330" i="8"/>
  <c r="K318" i="8"/>
  <c r="K333" i="8"/>
  <c r="K347" i="8"/>
  <c r="K339" i="8"/>
  <c r="O339" i="8"/>
  <c r="J339" i="8"/>
  <c r="G257" i="8"/>
  <c r="G244" i="8"/>
  <c r="G243" i="8"/>
  <c r="G241" i="8"/>
  <c r="E244" i="8"/>
  <c r="E243" i="8"/>
  <c r="H17" i="8"/>
  <c r="H16" i="8"/>
  <c r="H14" i="8"/>
  <c r="G17" i="8"/>
  <c r="F17" i="8"/>
  <c r="I378" i="8"/>
  <c r="K378" i="8"/>
  <c r="M378" i="8"/>
  <c r="O378" i="8"/>
  <c r="F379" i="8"/>
  <c r="F378" i="8"/>
  <c r="G379" i="8"/>
  <c r="G378" i="8"/>
  <c r="H379" i="8"/>
  <c r="H378" i="8"/>
  <c r="I379" i="8"/>
  <c r="J379" i="8"/>
  <c r="J378" i="8"/>
  <c r="K379" i="8"/>
  <c r="L379" i="8"/>
  <c r="L378" i="8"/>
  <c r="M379" i="8"/>
  <c r="N379" i="8"/>
  <c r="N378" i="8"/>
  <c r="O379" i="8"/>
  <c r="O380" i="8"/>
  <c r="J380" i="8"/>
  <c r="E380" i="8"/>
  <c r="E379" i="8"/>
  <c r="E378" i="8"/>
  <c r="F135" i="8"/>
  <c r="G56" i="8"/>
  <c r="F56" i="8"/>
  <c r="G84" i="8"/>
  <c r="F84" i="8"/>
  <c r="E84" i="8"/>
  <c r="P84" i="8"/>
  <c r="E80" i="8"/>
  <c r="E81" i="8"/>
  <c r="O81" i="8"/>
  <c r="J81" i="8"/>
  <c r="E83" i="8"/>
  <c r="O83" i="8"/>
  <c r="J83" i="8"/>
  <c r="K383" i="8"/>
  <c r="O383" i="8"/>
  <c r="J383" i="8"/>
  <c r="O56" i="8"/>
  <c r="J56" i="8"/>
  <c r="E59" i="8"/>
  <c r="E60" i="8"/>
  <c r="E61" i="8"/>
  <c r="E62" i="8"/>
  <c r="E63" i="8"/>
  <c r="E64" i="8"/>
  <c r="E67" i="8"/>
  <c r="P67" i="8"/>
  <c r="E68" i="8"/>
  <c r="E69" i="8"/>
  <c r="E70" i="8"/>
  <c r="E74" i="8"/>
  <c r="P74" i="8"/>
  <c r="E75" i="8"/>
  <c r="E76" i="8"/>
  <c r="E77" i="8"/>
  <c r="E78" i="8"/>
  <c r="E82" i="8"/>
  <c r="E85" i="8"/>
  <c r="E86" i="8"/>
  <c r="E87" i="8"/>
  <c r="E88" i="8"/>
  <c r="P88" i="8"/>
  <c r="E57" i="8"/>
  <c r="E56" i="8"/>
  <c r="E51" i="8"/>
  <c r="I50" i="8"/>
  <c r="K41" i="8"/>
  <c r="M50" i="8"/>
  <c r="M41" i="8"/>
  <c r="N50" i="8"/>
  <c r="N41" i="8"/>
  <c r="K89" i="8"/>
  <c r="O89" i="8"/>
  <c r="G89" i="8"/>
  <c r="G48" i="8"/>
  <c r="F89" i="8"/>
  <c r="E89" i="8"/>
  <c r="E48" i="8"/>
  <c r="J88" i="8"/>
  <c r="G46" i="8"/>
  <c r="F46" i="8"/>
  <c r="E46" i="8"/>
  <c r="P46" i="8"/>
  <c r="G58" i="8"/>
  <c r="F58" i="8"/>
  <c r="H44" i="8"/>
  <c r="F44" i="8"/>
  <c r="F130" i="8"/>
  <c r="E130" i="8"/>
  <c r="P130" i="8"/>
  <c r="P393" i="8"/>
  <c r="K393" i="8"/>
  <c r="J393" i="8"/>
  <c r="E393" i="8"/>
  <c r="F231" i="8"/>
  <c r="E231" i="8"/>
  <c r="F71" i="8"/>
  <c r="E71" i="8"/>
  <c r="P71" i="8"/>
  <c r="G71" i="8"/>
  <c r="G42" i="8"/>
  <c r="G67" i="8"/>
  <c r="F107" i="8"/>
  <c r="E107" i="8"/>
  <c r="F118" i="8"/>
  <c r="E118" i="8"/>
  <c r="O356" i="8"/>
  <c r="J356" i="8"/>
  <c r="P356" i="8"/>
  <c r="F101" i="8"/>
  <c r="L73" i="8"/>
  <c r="L50" i="8"/>
  <c r="L41" i="8"/>
  <c r="O73" i="8"/>
  <c r="F52" i="8"/>
  <c r="E52" i="8"/>
  <c r="K268" i="8"/>
  <c r="F268" i="8"/>
  <c r="E268" i="8"/>
  <c r="K101" i="8"/>
  <c r="F366" i="8"/>
  <c r="F364" i="8"/>
  <c r="H265" i="8"/>
  <c r="H256" i="8"/>
  <c r="H255" i="8"/>
  <c r="F265" i="8"/>
  <c r="E265" i="8"/>
  <c r="H251" i="8"/>
  <c r="F251" i="8"/>
  <c r="E251" i="8"/>
  <c r="H250" i="8"/>
  <c r="F250" i="8"/>
  <c r="E250" i="8"/>
  <c r="H248" i="8"/>
  <c r="F248" i="8"/>
  <c r="E248" i="8"/>
  <c r="H245" i="8"/>
  <c r="F245" i="8"/>
  <c r="H212" i="8"/>
  <c r="F212" i="8"/>
  <c r="E212" i="8"/>
  <c r="H209" i="8"/>
  <c r="H150" i="8"/>
  <c r="F209" i="8"/>
  <c r="E209" i="8"/>
  <c r="H79" i="8"/>
  <c r="F79" i="8"/>
  <c r="E79" i="8"/>
  <c r="H73" i="8"/>
  <c r="F73" i="8"/>
  <c r="E73" i="8"/>
  <c r="H52" i="8"/>
  <c r="H237" i="8"/>
  <c r="H236" i="8"/>
  <c r="H235" i="8"/>
  <c r="F237" i="8"/>
  <c r="F236" i="8"/>
  <c r="F235" i="8"/>
  <c r="H151" i="8"/>
  <c r="F151" i="8"/>
  <c r="F150" i="8"/>
  <c r="E17" i="8"/>
  <c r="G100" i="8"/>
  <c r="G99" i="8"/>
  <c r="G90" i="8"/>
  <c r="F100" i="8"/>
  <c r="F66" i="8"/>
  <c r="E66" i="8"/>
  <c r="F32" i="8"/>
  <c r="E32" i="8"/>
  <c r="K17" i="8"/>
  <c r="L99" i="8"/>
  <c r="L90" i="8"/>
  <c r="M150" i="8"/>
  <c r="N150" i="8"/>
  <c r="L150" i="8"/>
  <c r="K150" i="8"/>
  <c r="K148" i="8"/>
  <c r="F34" i="8"/>
  <c r="F263" i="8"/>
  <c r="E263" i="8"/>
  <c r="F261" i="8"/>
  <c r="F260" i="8"/>
  <c r="E260" i="8"/>
  <c r="E296" i="8"/>
  <c r="O283" i="8"/>
  <c r="J283" i="8"/>
  <c r="P283" i="8"/>
  <c r="E257" i="8"/>
  <c r="J360" i="8"/>
  <c r="O248" i="8"/>
  <c r="J248" i="8"/>
  <c r="E21" i="8"/>
  <c r="E23" i="8"/>
  <c r="E24" i="8"/>
  <c r="P24" i="8"/>
  <c r="L313" i="8"/>
  <c r="M313" i="8"/>
  <c r="N313" i="8"/>
  <c r="O313" i="8"/>
  <c r="K313" i="8"/>
  <c r="J355" i="8"/>
  <c r="P355" i="8"/>
  <c r="O287" i="8"/>
  <c r="J287" i="8"/>
  <c r="J322" i="8"/>
  <c r="P322" i="8"/>
  <c r="O312" i="8"/>
  <c r="K312" i="8"/>
  <c r="F47" i="8"/>
  <c r="E47" i="8"/>
  <c r="K44" i="8"/>
  <c r="O44" i="8"/>
  <c r="J44" i="8"/>
  <c r="E139" i="8"/>
  <c r="P139" i="8"/>
  <c r="E140" i="8"/>
  <c r="E141" i="8"/>
  <c r="E142" i="8"/>
  <c r="E143" i="8"/>
  <c r="P143" i="8"/>
  <c r="E144" i="8"/>
  <c r="P144" i="8"/>
  <c r="F95" i="8"/>
  <c r="O316" i="8"/>
  <c r="J316" i="8"/>
  <c r="P316" i="8"/>
  <c r="O338" i="8"/>
  <c r="J338" i="8"/>
  <c r="E128" i="8"/>
  <c r="P128" i="8"/>
  <c r="O266" i="8"/>
  <c r="J266" i="8"/>
  <c r="P266" i="8"/>
  <c r="O106" i="8"/>
  <c r="K96" i="8"/>
  <c r="O145" i="8"/>
  <c r="J145" i="8"/>
  <c r="P145" i="8"/>
  <c r="O113" i="8"/>
  <c r="J113" i="8"/>
  <c r="P113" i="8"/>
  <c r="K43" i="8"/>
  <c r="O43" i="8"/>
  <c r="L315" i="8"/>
  <c r="L306" i="8"/>
  <c r="M315" i="8"/>
  <c r="M306" i="8"/>
  <c r="M388" i="8"/>
  <c r="N315" i="8"/>
  <c r="N306" i="8"/>
  <c r="N388" i="8"/>
  <c r="O294" i="8"/>
  <c r="J294" i="8"/>
  <c r="P294" i="8"/>
  <c r="E129" i="8"/>
  <c r="E96" i="8"/>
  <c r="F96" i="8"/>
  <c r="O55" i="8"/>
  <c r="J55" i="8"/>
  <c r="P55" i="8"/>
  <c r="E55" i="8"/>
  <c r="E136" i="8"/>
  <c r="O362" i="8"/>
  <c r="J362" i="8"/>
  <c r="P362" i="8"/>
  <c r="G366" i="8"/>
  <c r="G364" i="8"/>
  <c r="G274" i="8"/>
  <c r="G272" i="8"/>
  <c r="G236" i="8"/>
  <c r="G235" i="8"/>
  <c r="O387" i="8"/>
  <c r="J387" i="8"/>
  <c r="E387" i="8"/>
  <c r="P387" i="8"/>
  <c r="O386" i="8"/>
  <c r="J386" i="8"/>
  <c r="P386" i="8"/>
  <c r="O385" i="8"/>
  <c r="E384" i="8"/>
  <c r="N382" i="8"/>
  <c r="N381" i="8"/>
  <c r="M382" i="8"/>
  <c r="M381" i="8"/>
  <c r="L382" i="8"/>
  <c r="L381" i="8"/>
  <c r="I382" i="8"/>
  <c r="I381" i="8"/>
  <c r="H382" i="8"/>
  <c r="H381" i="8"/>
  <c r="G382" i="8"/>
  <c r="G381" i="8"/>
  <c r="J377" i="8"/>
  <c r="J376" i="8"/>
  <c r="E377" i="8"/>
  <c r="E376" i="8"/>
  <c r="P376" i="8"/>
  <c r="O376" i="8"/>
  <c r="N376" i="8"/>
  <c r="M376" i="8"/>
  <c r="M372" i="8"/>
  <c r="L376" i="8"/>
  <c r="K376" i="8"/>
  <c r="K372" i="8"/>
  <c r="I376" i="8"/>
  <c r="I366" i="8"/>
  <c r="I364" i="8"/>
  <c r="H376" i="8"/>
  <c r="H366" i="8"/>
  <c r="H364" i="8"/>
  <c r="O375" i="8"/>
  <c r="J375" i="8"/>
  <c r="P375" i="8"/>
  <c r="O374" i="8"/>
  <c r="J374" i="8"/>
  <c r="P374" i="8"/>
  <c r="O373" i="8"/>
  <c r="E373" i="8"/>
  <c r="N372" i="8"/>
  <c r="L372" i="8"/>
  <c r="I372" i="8"/>
  <c r="H372" i="8"/>
  <c r="E372" i="8"/>
  <c r="O371" i="8"/>
  <c r="J371" i="8"/>
  <c r="E371" i="8"/>
  <c r="P371" i="8"/>
  <c r="O370" i="8"/>
  <c r="J370" i="8"/>
  <c r="J365" i="8"/>
  <c r="P365" i="8"/>
  <c r="O369" i="8"/>
  <c r="J369" i="8"/>
  <c r="E369" i="8"/>
  <c r="O368" i="8"/>
  <c r="J368" i="8"/>
  <c r="E368" i="8"/>
  <c r="P368" i="8"/>
  <c r="O367" i="8"/>
  <c r="J367" i="8"/>
  <c r="E367" i="8"/>
  <c r="K365" i="8"/>
  <c r="O365" i="8"/>
  <c r="J361" i="8"/>
  <c r="P361" i="8"/>
  <c r="E361" i="8"/>
  <c r="E360" i="8"/>
  <c r="J359" i="8"/>
  <c r="E359" i="8"/>
  <c r="P359" i="8"/>
  <c r="O358" i="8"/>
  <c r="J358" i="8"/>
  <c r="E358" i="8"/>
  <c r="O357" i="8"/>
  <c r="J357" i="8"/>
  <c r="E357" i="8"/>
  <c r="E356" i="8"/>
  <c r="O354" i="8"/>
  <c r="J354" i="8"/>
  <c r="E354" i="8"/>
  <c r="O353" i="8"/>
  <c r="J353" i="8"/>
  <c r="P353" i="8"/>
  <c r="O352" i="8"/>
  <c r="J352" i="8"/>
  <c r="E352" i="8"/>
  <c r="O351" i="8"/>
  <c r="J351" i="8"/>
  <c r="E351" i="8"/>
  <c r="O350" i="8"/>
  <c r="J350" i="8"/>
  <c r="E350" i="8"/>
  <c r="O349" i="8"/>
  <c r="J349" i="8"/>
  <c r="E349" i="8"/>
  <c r="O348" i="8"/>
  <c r="J348" i="8"/>
  <c r="E348" i="8"/>
  <c r="O347" i="8"/>
  <c r="J347" i="8"/>
  <c r="E347" i="8"/>
  <c r="O346" i="8"/>
  <c r="J346" i="8"/>
  <c r="O345" i="8"/>
  <c r="J345" i="8"/>
  <c r="E345" i="8"/>
  <c r="E344" i="8"/>
  <c r="O343" i="8"/>
  <c r="J343" i="8"/>
  <c r="E343" i="8"/>
  <c r="E342" i="8"/>
  <c r="N342" i="8"/>
  <c r="M342" i="8"/>
  <c r="M326" i="8"/>
  <c r="M340" i="8"/>
  <c r="M334" i="8"/>
  <c r="L342" i="8"/>
  <c r="I342" i="8"/>
  <c r="H342" i="8"/>
  <c r="G342" i="8"/>
  <c r="F342" i="8"/>
  <c r="O341" i="8"/>
  <c r="J341" i="8"/>
  <c r="E341" i="8"/>
  <c r="E340" i="8"/>
  <c r="N340" i="8"/>
  <c r="L340" i="8"/>
  <c r="I340" i="8"/>
  <c r="H340" i="8"/>
  <c r="H315" i="8"/>
  <c r="H306" i="8"/>
  <c r="G340" i="8"/>
  <c r="F340" i="8"/>
  <c r="F315" i="8"/>
  <c r="F306" i="8"/>
  <c r="E339" i="8"/>
  <c r="E338" i="8"/>
  <c r="P338" i="8"/>
  <c r="O337" i="8"/>
  <c r="J337" i="8"/>
  <c r="P337" i="8"/>
  <c r="E337" i="8"/>
  <c r="O336" i="8"/>
  <c r="J336" i="8"/>
  <c r="P336" i="8"/>
  <c r="O335" i="8"/>
  <c r="O334" i="8"/>
  <c r="N334" i="8"/>
  <c r="L334" i="8"/>
  <c r="J334" i="8"/>
  <c r="E334" i="8"/>
  <c r="O333" i="8"/>
  <c r="J333" i="8"/>
  <c r="E333" i="8"/>
  <c r="O332" i="8"/>
  <c r="J332" i="8"/>
  <c r="P332" i="8"/>
  <c r="O320" i="8"/>
  <c r="J320" i="8"/>
  <c r="O321" i="8"/>
  <c r="J321" i="8"/>
  <c r="O323" i="8"/>
  <c r="J323" i="8"/>
  <c r="O325" i="8"/>
  <c r="J325" i="8"/>
  <c r="L326" i="8"/>
  <c r="O326" i="8"/>
  <c r="O328" i="8"/>
  <c r="J328" i="8"/>
  <c r="O329" i="8"/>
  <c r="J329" i="8"/>
  <c r="P329" i="8"/>
  <c r="E331" i="8"/>
  <c r="E328" i="8"/>
  <c r="O327" i="8"/>
  <c r="J327" i="8"/>
  <c r="E327" i="8"/>
  <c r="N326" i="8"/>
  <c r="I326" i="8"/>
  <c r="E326" i="8"/>
  <c r="H326" i="8"/>
  <c r="G326" i="8"/>
  <c r="F326" i="8"/>
  <c r="E325" i="8"/>
  <c r="O324" i="8"/>
  <c r="J324" i="8"/>
  <c r="P324" i="8"/>
  <c r="E323" i="8"/>
  <c r="E321" i="8"/>
  <c r="E320" i="8"/>
  <c r="P320" i="8"/>
  <c r="O319" i="8"/>
  <c r="O310" i="8"/>
  <c r="J310" i="8"/>
  <c r="P310" i="8"/>
  <c r="E318" i="8"/>
  <c r="E317" i="8"/>
  <c r="E316" i="8"/>
  <c r="O230" i="8"/>
  <c r="J230" i="8"/>
  <c r="K233" i="8"/>
  <c r="O225" i="8"/>
  <c r="J225" i="8"/>
  <c r="K239" i="8"/>
  <c r="K236" i="8"/>
  <c r="K235" i="8"/>
  <c r="K243" i="8"/>
  <c r="K241" i="8"/>
  <c r="K259" i="8"/>
  <c r="O259" i="8"/>
  <c r="K264" i="8"/>
  <c r="O264" i="8"/>
  <c r="J264" i="8"/>
  <c r="K262" i="8"/>
  <c r="O262" i="8"/>
  <c r="E314" i="8"/>
  <c r="N311" i="8"/>
  <c r="M311" i="8"/>
  <c r="L311" i="8"/>
  <c r="K311" i="8"/>
  <c r="L310" i="8"/>
  <c r="N310" i="8"/>
  <c r="M310" i="8"/>
  <c r="K310" i="8"/>
  <c r="N309" i="8"/>
  <c r="M309" i="8"/>
  <c r="L309" i="8"/>
  <c r="K309" i="8"/>
  <c r="N308" i="8"/>
  <c r="M308" i="8"/>
  <c r="L308" i="8"/>
  <c r="K308" i="8"/>
  <c r="K307" i="8"/>
  <c r="O307" i="8"/>
  <c r="J307" i="8"/>
  <c r="P307" i="8"/>
  <c r="J305" i="8"/>
  <c r="E305" i="8"/>
  <c r="J304" i="8"/>
  <c r="E304" i="8"/>
  <c r="E303" i="8"/>
  <c r="O302" i="8"/>
  <c r="J302" i="8"/>
  <c r="P302" i="8"/>
  <c r="O301" i="8"/>
  <c r="J301" i="8"/>
  <c r="P301" i="8"/>
  <c r="O300" i="8"/>
  <c r="J300" i="8"/>
  <c r="P300" i="8"/>
  <c r="O299" i="8"/>
  <c r="J299" i="8"/>
  <c r="E299" i="8"/>
  <c r="P299" i="8"/>
  <c r="E298" i="8"/>
  <c r="P298" i="8"/>
  <c r="O297" i="8"/>
  <c r="J297" i="8"/>
  <c r="E297" i="8"/>
  <c r="O296" i="8"/>
  <c r="J296" i="8"/>
  <c r="O295" i="8"/>
  <c r="J295" i="8"/>
  <c r="O275" i="8"/>
  <c r="J275" i="8"/>
  <c r="O276" i="8"/>
  <c r="J276" i="8"/>
  <c r="O277" i="8"/>
  <c r="J277" i="8"/>
  <c r="O288" i="8"/>
  <c r="J288" i="8"/>
  <c r="O293" i="8"/>
  <c r="J293" i="8"/>
  <c r="O284" i="8"/>
  <c r="J284" i="8"/>
  <c r="O291" i="8"/>
  <c r="J291" i="8"/>
  <c r="O290" i="8"/>
  <c r="J290" i="8"/>
  <c r="O286" i="8"/>
  <c r="J286" i="8"/>
  <c r="O278" i="8"/>
  <c r="J278" i="8"/>
  <c r="N295" i="8"/>
  <c r="I295" i="8"/>
  <c r="E293" i="8"/>
  <c r="O292" i="8"/>
  <c r="J292" i="8"/>
  <c r="E292" i="8"/>
  <c r="N291" i="8"/>
  <c r="I291" i="8"/>
  <c r="E291" i="8"/>
  <c r="P291" i="8"/>
  <c r="E290" i="8"/>
  <c r="E289" i="8"/>
  <c r="P289" i="8"/>
  <c r="E288" i="8"/>
  <c r="E286" i="8"/>
  <c r="P286" i="8"/>
  <c r="O285" i="8"/>
  <c r="J285" i="8"/>
  <c r="E285" i="8"/>
  <c r="P285" i="8"/>
  <c r="E284" i="8"/>
  <c r="E283" i="8"/>
  <c r="O282" i="8"/>
  <c r="J282" i="8"/>
  <c r="E282" i="8"/>
  <c r="O281" i="8"/>
  <c r="J281" i="8"/>
  <c r="P281" i="8"/>
  <c r="E281" i="8"/>
  <c r="O280" i="8"/>
  <c r="J280" i="8"/>
  <c r="P280" i="8"/>
  <c r="E280" i="8"/>
  <c r="O279" i="8"/>
  <c r="J279" i="8"/>
  <c r="P279" i="8"/>
  <c r="E278" i="8"/>
  <c r="N277" i="8"/>
  <c r="N274" i="8"/>
  <c r="N272" i="8"/>
  <c r="M274" i="8"/>
  <c r="M272" i="8"/>
  <c r="L274" i="8"/>
  <c r="L272" i="8"/>
  <c r="I277" i="8"/>
  <c r="E277" i="8"/>
  <c r="E276" i="8"/>
  <c r="E275" i="8"/>
  <c r="H274" i="8"/>
  <c r="H272" i="8"/>
  <c r="K273" i="8"/>
  <c r="O273" i="8"/>
  <c r="F273" i="8"/>
  <c r="E273" i="8"/>
  <c r="O271" i="8"/>
  <c r="J271" i="8"/>
  <c r="P271" i="8"/>
  <c r="E271" i="8"/>
  <c r="O270" i="8"/>
  <c r="J270" i="8"/>
  <c r="E270" i="8"/>
  <c r="I269" i="8"/>
  <c r="O268" i="8"/>
  <c r="J268" i="8"/>
  <c r="O267" i="8"/>
  <c r="J267" i="8"/>
  <c r="I267" i="8"/>
  <c r="O265" i="8"/>
  <c r="J265" i="8"/>
  <c r="N264" i="8"/>
  <c r="M264" i="8"/>
  <c r="M259" i="8"/>
  <c r="M262" i="8"/>
  <c r="L264" i="8"/>
  <c r="I264" i="8"/>
  <c r="E264" i="8"/>
  <c r="O263" i="8"/>
  <c r="J263" i="8"/>
  <c r="N262" i="8"/>
  <c r="L262" i="8"/>
  <c r="I262" i="8"/>
  <c r="E262" i="8"/>
  <c r="O261" i="8"/>
  <c r="J261" i="8"/>
  <c r="P261" i="8"/>
  <c r="E261" i="8"/>
  <c r="O260" i="8"/>
  <c r="J260" i="8"/>
  <c r="N259" i="8"/>
  <c r="N256" i="8"/>
  <c r="N255" i="8"/>
  <c r="L259" i="8"/>
  <c r="I259" i="8"/>
  <c r="E259" i="8"/>
  <c r="P259" i="8"/>
  <c r="O247" i="8"/>
  <c r="J247" i="8"/>
  <c r="E247" i="8"/>
  <c r="O258" i="8"/>
  <c r="J258" i="8"/>
  <c r="E258" i="8"/>
  <c r="O257" i="8"/>
  <c r="J257" i="8"/>
  <c r="I256" i="8"/>
  <c r="I255" i="8"/>
  <c r="G256" i="8"/>
  <c r="G255" i="8"/>
  <c r="O254" i="8"/>
  <c r="J254" i="8"/>
  <c r="E254" i="8"/>
  <c r="O253" i="8"/>
  <c r="J253" i="8"/>
  <c r="E253" i="8"/>
  <c r="O252" i="8"/>
  <c r="J252" i="8"/>
  <c r="I252" i="8"/>
  <c r="O251" i="8"/>
  <c r="J251" i="8"/>
  <c r="O250" i="8"/>
  <c r="J250" i="8"/>
  <c r="P250" i="8"/>
  <c r="O246" i="8"/>
  <c r="O242" i="8"/>
  <c r="O245" i="8"/>
  <c r="J245" i="8"/>
  <c r="P245" i="8"/>
  <c r="O244" i="8"/>
  <c r="J244" i="8"/>
  <c r="N243" i="8"/>
  <c r="N241" i="8"/>
  <c r="M243" i="8"/>
  <c r="M241" i="8"/>
  <c r="L243" i="8"/>
  <c r="L241" i="8"/>
  <c r="N242" i="8"/>
  <c r="M242" i="8"/>
  <c r="L242" i="8"/>
  <c r="K242" i="8"/>
  <c r="E240" i="8"/>
  <c r="O239" i="8"/>
  <c r="O236" i="8"/>
  <c r="O235" i="8"/>
  <c r="N239" i="8"/>
  <c r="N236" i="8"/>
  <c r="N235" i="8"/>
  <c r="M239" i="8"/>
  <c r="M236" i="8"/>
  <c r="M235" i="8"/>
  <c r="L239" i="8"/>
  <c r="L236" i="8"/>
  <c r="L235" i="8"/>
  <c r="J239" i="8"/>
  <c r="I239" i="8"/>
  <c r="I236" i="8"/>
  <c r="I235" i="8"/>
  <c r="O238" i="8"/>
  <c r="J238" i="8"/>
  <c r="E238" i="8"/>
  <c r="O237" i="8"/>
  <c r="J234" i="8"/>
  <c r="J233" i="8"/>
  <c r="E234" i="8"/>
  <c r="E233" i="8"/>
  <c r="O233" i="8"/>
  <c r="N233" i="8"/>
  <c r="M233" i="8"/>
  <c r="L233" i="8"/>
  <c r="I233" i="8"/>
  <c r="E232" i="8"/>
  <c r="P232" i="8"/>
  <c r="O231" i="8"/>
  <c r="J231" i="8"/>
  <c r="P231" i="8"/>
  <c r="E230" i="8"/>
  <c r="P230" i="8"/>
  <c r="E229" i="8"/>
  <c r="P229" i="8"/>
  <c r="E228" i="8"/>
  <c r="P228" i="8"/>
  <c r="O227" i="8"/>
  <c r="J227" i="8"/>
  <c r="P227" i="8"/>
  <c r="E227" i="8"/>
  <c r="E226" i="8"/>
  <c r="E225" i="8"/>
  <c r="P225" i="8"/>
  <c r="J224" i="8"/>
  <c r="P224" i="8"/>
  <c r="E224" i="8"/>
  <c r="J223" i="8"/>
  <c r="P223" i="8"/>
  <c r="E223" i="8"/>
  <c r="O222" i="8"/>
  <c r="E222" i="8"/>
  <c r="E221" i="8"/>
  <c r="I221" i="8"/>
  <c r="J220" i="8"/>
  <c r="E220" i="8"/>
  <c r="O219" i="8"/>
  <c r="J219" i="8"/>
  <c r="I219" i="8"/>
  <c r="I150" i="8"/>
  <c r="P218" i="8"/>
  <c r="J217" i="8"/>
  <c r="E217" i="8"/>
  <c r="J216" i="8"/>
  <c r="P216" i="8"/>
  <c r="E216" i="8"/>
  <c r="J215" i="8"/>
  <c r="P215" i="8"/>
  <c r="E215" i="8"/>
  <c r="O214" i="8"/>
  <c r="J214" i="8"/>
  <c r="P214" i="8"/>
  <c r="I214" i="8"/>
  <c r="E214" i="8"/>
  <c r="J213" i="8"/>
  <c r="P213" i="8"/>
  <c r="E213" i="8"/>
  <c r="O212" i="8"/>
  <c r="O211" i="8"/>
  <c r="J211" i="8"/>
  <c r="P211" i="8"/>
  <c r="E211" i="8"/>
  <c r="O210" i="8"/>
  <c r="J210" i="8"/>
  <c r="P210" i="8"/>
  <c r="E210" i="8"/>
  <c r="O209" i="8"/>
  <c r="E208" i="8"/>
  <c r="P208" i="8"/>
  <c r="E207" i="8"/>
  <c r="P207" i="8"/>
  <c r="I206" i="8"/>
  <c r="E206" i="8"/>
  <c r="E205" i="8"/>
  <c r="P205" i="8"/>
  <c r="E204" i="8"/>
  <c r="P204" i="8"/>
  <c r="E203" i="8"/>
  <c r="P203" i="8"/>
  <c r="E202" i="8"/>
  <c r="P202" i="8"/>
  <c r="E201" i="8"/>
  <c r="P201" i="8"/>
  <c r="E200" i="8"/>
  <c r="P200" i="8"/>
  <c r="E199" i="8"/>
  <c r="P199" i="8"/>
  <c r="E198" i="8"/>
  <c r="P198" i="8"/>
  <c r="E197" i="8"/>
  <c r="P197" i="8"/>
  <c r="E195" i="8"/>
  <c r="P195" i="8"/>
  <c r="E194" i="8"/>
  <c r="P194" i="8"/>
  <c r="J193" i="8"/>
  <c r="E193" i="8"/>
  <c r="P193" i="8"/>
  <c r="J192" i="8"/>
  <c r="J191" i="8"/>
  <c r="P191" i="8"/>
  <c r="E191" i="8"/>
  <c r="J190" i="8"/>
  <c r="J189" i="8"/>
  <c r="E189" i="8"/>
  <c r="P189" i="8"/>
  <c r="J188" i="8"/>
  <c r="E188" i="8"/>
  <c r="P188" i="8"/>
  <c r="J187" i="8"/>
  <c r="E187" i="8"/>
  <c r="J186" i="8"/>
  <c r="E186" i="8"/>
  <c r="P186" i="8"/>
  <c r="J185" i="8"/>
  <c r="E185" i="8"/>
  <c r="J184" i="8"/>
  <c r="E184" i="8"/>
  <c r="P184" i="8"/>
  <c r="J183" i="8"/>
  <c r="E183" i="8"/>
  <c r="J182" i="8"/>
  <c r="E182" i="8"/>
  <c r="P182" i="8"/>
  <c r="J181" i="8"/>
  <c r="E181" i="8"/>
  <c r="J180" i="8"/>
  <c r="E180" i="8"/>
  <c r="J179" i="8"/>
  <c r="E179" i="8"/>
  <c r="J178" i="8"/>
  <c r="E178" i="8"/>
  <c r="J177" i="8"/>
  <c r="E177" i="8"/>
  <c r="J176" i="8"/>
  <c r="E176" i="8"/>
  <c r="J175" i="8"/>
  <c r="E175" i="8"/>
  <c r="J174" i="8"/>
  <c r="E174" i="8"/>
  <c r="O173" i="8"/>
  <c r="J173" i="8"/>
  <c r="I173" i="8"/>
  <c r="E173" i="8"/>
  <c r="J172" i="8"/>
  <c r="E172" i="8"/>
  <c r="P172" i="8"/>
  <c r="J171" i="8"/>
  <c r="E171" i="8"/>
  <c r="J170" i="8"/>
  <c r="E170" i="8"/>
  <c r="J169" i="8"/>
  <c r="J168" i="8"/>
  <c r="E169" i="8"/>
  <c r="E168" i="8"/>
  <c r="O168" i="8"/>
  <c r="I168" i="8"/>
  <c r="O167" i="8"/>
  <c r="J167" i="8"/>
  <c r="I167" i="8"/>
  <c r="E167" i="8"/>
  <c r="J166" i="8"/>
  <c r="E166" i="8"/>
  <c r="J165" i="8"/>
  <c r="E165" i="8"/>
  <c r="J164" i="8"/>
  <c r="E164" i="8"/>
  <c r="P164" i="8"/>
  <c r="J163" i="8"/>
  <c r="E163" i="8"/>
  <c r="J162" i="8"/>
  <c r="E162" i="8"/>
  <c r="J161" i="8"/>
  <c r="P161" i="8"/>
  <c r="E161" i="8"/>
  <c r="J160" i="8"/>
  <c r="E160" i="8"/>
  <c r="O159" i="8"/>
  <c r="J159" i="8"/>
  <c r="I159" i="8"/>
  <c r="E159" i="8"/>
  <c r="J158" i="8"/>
  <c r="P158" i="8"/>
  <c r="E158" i="8"/>
  <c r="J157" i="8"/>
  <c r="P157" i="8"/>
  <c r="E157" i="8"/>
  <c r="J156" i="8"/>
  <c r="E156" i="8"/>
  <c r="J155" i="8"/>
  <c r="E155" i="8"/>
  <c r="J154" i="8"/>
  <c r="E154" i="8"/>
  <c r="J153" i="8"/>
  <c r="J152" i="8"/>
  <c r="E153" i="8"/>
  <c r="O152" i="8"/>
  <c r="I152" i="8"/>
  <c r="E152" i="8"/>
  <c r="P152" i="8"/>
  <c r="O151" i="8"/>
  <c r="J151" i="8"/>
  <c r="G150" i="8"/>
  <c r="G148" i="8"/>
  <c r="F149" i="8"/>
  <c r="O147" i="8"/>
  <c r="J147" i="8"/>
  <c r="P147" i="8"/>
  <c r="E147" i="8"/>
  <c r="O146" i="8"/>
  <c r="J146" i="8"/>
  <c r="E146" i="8"/>
  <c r="E145" i="8"/>
  <c r="O142" i="8"/>
  <c r="O93" i="8"/>
  <c r="J93" i="8"/>
  <c r="P93" i="8"/>
  <c r="E93" i="8"/>
  <c r="O141" i="8"/>
  <c r="N140" i="8"/>
  <c r="O138" i="8"/>
  <c r="J138" i="8"/>
  <c r="P138" i="8"/>
  <c r="E138" i="8"/>
  <c r="O137" i="8"/>
  <c r="J137" i="8"/>
  <c r="E137" i="8"/>
  <c r="O136" i="8"/>
  <c r="J136" i="8"/>
  <c r="O135" i="8"/>
  <c r="J135" i="8"/>
  <c r="O134" i="8"/>
  <c r="J134" i="8"/>
  <c r="E134" i="8"/>
  <c r="P133" i="8"/>
  <c r="E132" i="8"/>
  <c r="P132" i="8"/>
  <c r="O131" i="8"/>
  <c r="J131" i="8"/>
  <c r="E131" i="8"/>
  <c r="O127" i="8"/>
  <c r="J127" i="8"/>
  <c r="E127" i="8"/>
  <c r="O126" i="8"/>
  <c r="J126" i="8"/>
  <c r="E126" i="8"/>
  <c r="P126" i="8"/>
  <c r="O125" i="8"/>
  <c r="N125" i="8"/>
  <c r="J125" i="8"/>
  <c r="E125" i="8"/>
  <c r="O124" i="8"/>
  <c r="J124" i="8"/>
  <c r="E124" i="8"/>
  <c r="O123" i="8"/>
  <c r="J123" i="8"/>
  <c r="E123" i="8"/>
  <c r="P123" i="8"/>
  <c r="O122" i="8"/>
  <c r="J122" i="8"/>
  <c r="P122" i="8"/>
  <c r="E122" i="8"/>
  <c r="O121" i="8"/>
  <c r="J121" i="8"/>
  <c r="P121" i="8"/>
  <c r="E121" i="8"/>
  <c r="O120" i="8"/>
  <c r="J120" i="8"/>
  <c r="P120" i="8"/>
  <c r="E120" i="8"/>
  <c r="O119" i="8"/>
  <c r="J119" i="8"/>
  <c r="E119" i="8"/>
  <c r="O118" i="8"/>
  <c r="J118" i="8"/>
  <c r="P118" i="8"/>
  <c r="O117" i="8"/>
  <c r="J117" i="8"/>
  <c r="N117" i="8"/>
  <c r="E116" i="8"/>
  <c r="P116" i="8"/>
  <c r="O115" i="8"/>
  <c r="J115" i="8"/>
  <c r="E115" i="8"/>
  <c r="P115" i="8"/>
  <c r="O114" i="8"/>
  <c r="J114" i="8"/>
  <c r="E114" i="8"/>
  <c r="P114" i="8"/>
  <c r="E113" i="8"/>
  <c r="E112" i="8"/>
  <c r="P112" i="8"/>
  <c r="O111" i="8"/>
  <c r="J111" i="8"/>
  <c r="P111" i="8"/>
  <c r="O110" i="8"/>
  <c r="J110" i="8"/>
  <c r="E110" i="8"/>
  <c r="O109" i="8"/>
  <c r="J109" i="8"/>
  <c r="E109" i="8"/>
  <c r="O108" i="8"/>
  <c r="J108" i="8"/>
  <c r="E108" i="8"/>
  <c r="O107" i="8"/>
  <c r="J107" i="8"/>
  <c r="E106" i="8"/>
  <c r="O105" i="8"/>
  <c r="J105" i="8"/>
  <c r="P105" i="8"/>
  <c r="E105" i="8"/>
  <c r="O104" i="8"/>
  <c r="J104" i="8"/>
  <c r="P104" i="8"/>
  <c r="O103" i="8"/>
  <c r="J103" i="8"/>
  <c r="P103" i="8"/>
  <c r="E103" i="8"/>
  <c r="O102" i="8"/>
  <c r="E102" i="8"/>
  <c r="O100" i="8"/>
  <c r="J100" i="8"/>
  <c r="M99" i="8"/>
  <c r="M90" i="8"/>
  <c r="H99" i="8"/>
  <c r="H90" i="8"/>
  <c r="K98" i="8"/>
  <c r="O98" i="8"/>
  <c r="J98" i="8"/>
  <c r="P98" i="8"/>
  <c r="J97" i="8"/>
  <c r="E95" i="8"/>
  <c r="P95" i="8"/>
  <c r="K94" i="8"/>
  <c r="O94" i="8"/>
  <c r="I94" i="8"/>
  <c r="H94" i="8"/>
  <c r="G94" i="8"/>
  <c r="F94" i="8"/>
  <c r="K93" i="8"/>
  <c r="K92" i="8"/>
  <c r="O92" i="8"/>
  <c r="J92" i="8"/>
  <c r="F92" i="8"/>
  <c r="E92" i="8"/>
  <c r="N91" i="8"/>
  <c r="M91" i="8"/>
  <c r="L91" i="8"/>
  <c r="K91" i="8"/>
  <c r="I91" i="8"/>
  <c r="H91" i="8"/>
  <c r="G91" i="8"/>
  <c r="F91" i="8"/>
  <c r="E91" i="8"/>
  <c r="O88" i="8"/>
  <c r="O87" i="8"/>
  <c r="J87" i="8"/>
  <c r="O86" i="8"/>
  <c r="J86" i="8"/>
  <c r="O85" i="8"/>
  <c r="J85" i="8"/>
  <c r="O82" i="8"/>
  <c r="J82" i="8"/>
  <c r="O79" i="8"/>
  <c r="J79" i="8"/>
  <c r="O78" i="8"/>
  <c r="J78" i="8"/>
  <c r="P78" i="8"/>
  <c r="O77" i="8"/>
  <c r="J77" i="8"/>
  <c r="O76" i="8"/>
  <c r="J76" i="8"/>
  <c r="P76" i="8"/>
  <c r="O75" i="8"/>
  <c r="J75" i="8"/>
  <c r="O74" i="8"/>
  <c r="J74" i="8"/>
  <c r="O68" i="8"/>
  <c r="J68" i="8"/>
  <c r="O66" i="8"/>
  <c r="J66" i="8"/>
  <c r="O64" i="8"/>
  <c r="J64" i="8"/>
  <c r="O63" i="8"/>
  <c r="J63" i="8"/>
  <c r="O62" i="8"/>
  <c r="J62" i="8"/>
  <c r="O61" i="8"/>
  <c r="O47" i="8"/>
  <c r="J47" i="8"/>
  <c r="P47" i="8"/>
  <c r="O60" i="8"/>
  <c r="J60" i="8"/>
  <c r="O59" i="8"/>
  <c r="J59" i="8"/>
  <c r="O58" i="8"/>
  <c r="J58" i="8"/>
  <c r="O57" i="8"/>
  <c r="J57" i="8"/>
  <c r="P57" i="8"/>
  <c r="P44" i="8"/>
  <c r="E44" i="8"/>
  <c r="O54" i="8"/>
  <c r="J54" i="8"/>
  <c r="E54" i="8"/>
  <c r="O53" i="8"/>
  <c r="J53" i="8"/>
  <c r="P53" i="8"/>
  <c r="E53" i="8"/>
  <c r="O52" i="8"/>
  <c r="J52" i="8"/>
  <c r="P52" i="8"/>
  <c r="O51" i="8"/>
  <c r="J51" i="8"/>
  <c r="P51" i="8"/>
  <c r="N49" i="8"/>
  <c r="M49" i="8"/>
  <c r="L49" i="8"/>
  <c r="K49" i="8"/>
  <c r="I49" i="8"/>
  <c r="H49" i="8"/>
  <c r="G49" i="8"/>
  <c r="N48" i="8"/>
  <c r="M48" i="8"/>
  <c r="L48" i="8"/>
  <c r="I48" i="8"/>
  <c r="H48" i="8"/>
  <c r="K47" i="8"/>
  <c r="I47" i="8"/>
  <c r="H47" i="8"/>
  <c r="G47" i="8"/>
  <c r="F45" i="8"/>
  <c r="E45" i="8"/>
  <c r="P45" i="8"/>
  <c r="N43" i="8"/>
  <c r="M43" i="8"/>
  <c r="L43" i="8"/>
  <c r="J43" i="8"/>
  <c r="F43" i="8"/>
  <c r="E43" i="8"/>
  <c r="G43" i="8"/>
  <c r="N42" i="8"/>
  <c r="M42" i="8"/>
  <c r="L42" i="8"/>
  <c r="J42" i="8"/>
  <c r="H42" i="8"/>
  <c r="O40" i="8"/>
  <c r="J40" i="8"/>
  <c r="E40" i="8"/>
  <c r="E39" i="8"/>
  <c r="J38" i="8"/>
  <c r="P38" i="8"/>
  <c r="P16" i="8"/>
  <c r="P14" i="8"/>
  <c r="E38" i="8"/>
  <c r="J37" i="8"/>
  <c r="P37" i="8"/>
  <c r="O36" i="8"/>
  <c r="J36" i="8"/>
  <c r="P36" i="8"/>
  <c r="O35" i="8"/>
  <c r="J35" i="8"/>
  <c r="E35" i="8"/>
  <c r="O34" i="8"/>
  <c r="J34" i="8"/>
  <c r="E34" i="8"/>
  <c r="O33" i="8"/>
  <c r="J33" i="8"/>
  <c r="E33" i="8"/>
  <c r="O32" i="8"/>
  <c r="J32" i="8"/>
  <c r="J31" i="8"/>
  <c r="E31" i="8"/>
  <c r="E30" i="8"/>
  <c r="O29" i="8"/>
  <c r="J29" i="8"/>
  <c r="P29" i="8"/>
  <c r="E29" i="8"/>
  <c r="O28" i="8"/>
  <c r="J28" i="8"/>
  <c r="P28" i="8"/>
  <c r="E28" i="8"/>
  <c r="O27" i="8"/>
  <c r="J27" i="8"/>
  <c r="E27" i="8"/>
  <c r="P26" i="8"/>
  <c r="P15" i="8"/>
  <c r="O25" i="8"/>
  <c r="J25" i="8"/>
  <c r="E25" i="8"/>
  <c r="O23" i="8"/>
  <c r="J23" i="8"/>
  <c r="E22" i="8"/>
  <c r="O21" i="8"/>
  <c r="I16" i="8"/>
  <c r="I14" i="8"/>
  <c r="E20" i="8"/>
  <c r="J19" i="8"/>
  <c r="E19" i="8"/>
  <c r="J18" i="8"/>
  <c r="E18" i="8"/>
  <c r="P18" i="8"/>
  <c r="F15" i="8"/>
  <c r="E15" i="8"/>
  <c r="P370" i="8"/>
  <c r="J142" i="8"/>
  <c r="E383" i="8"/>
  <c r="E382" i="8"/>
  <c r="E381" i="8"/>
  <c r="F382" i="8"/>
  <c r="F381" i="8"/>
  <c r="J212" i="8"/>
  <c r="P212" i="8"/>
  <c r="J209" i="8"/>
  <c r="E190" i="8"/>
  <c r="E196" i="8"/>
  <c r="P196" i="8"/>
  <c r="E192" i="8"/>
  <c r="P192" i="8"/>
  <c r="O314" i="8"/>
  <c r="J314" i="8"/>
  <c r="P314" i="8"/>
  <c r="O318" i="8"/>
  <c r="J318" i="8"/>
  <c r="M16" i="8"/>
  <c r="M14" i="8"/>
  <c r="M148" i="8"/>
  <c r="O206" i="8"/>
  <c r="J206" i="8"/>
  <c r="P206" i="8"/>
  <c r="O226" i="8"/>
  <c r="J226" i="8"/>
  <c r="P226" i="8"/>
  <c r="G16" i="8"/>
  <c r="G14" i="8"/>
  <c r="N16" i="8"/>
  <c r="N14" i="8"/>
  <c r="O22" i="8"/>
  <c r="I99" i="8"/>
  <c r="I90" i="8"/>
  <c r="E117" i="8"/>
  <c r="N148" i="8"/>
  <c r="L148" i="8"/>
  <c r="J311" i="8"/>
  <c r="P311" i="8"/>
  <c r="P129" i="8"/>
  <c r="E94" i="8"/>
  <c r="J73" i="8"/>
  <c r="P377" i="8"/>
  <c r="J61" i="8"/>
  <c r="P61" i="8"/>
  <c r="J319" i="8"/>
  <c r="P319" i="8"/>
  <c r="N99" i="8"/>
  <c r="N90" i="8"/>
  <c r="E237" i="8"/>
  <c r="E151" i="8"/>
  <c r="E135" i="8"/>
  <c r="P135" i="8"/>
  <c r="N366" i="8"/>
  <c r="N364" i="8"/>
  <c r="F16" i="8"/>
  <c r="F14" i="8"/>
  <c r="O311" i="8"/>
  <c r="P384" i="8"/>
  <c r="P247" i="8"/>
  <c r="F148" i="8"/>
  <c r="P234" i="8"/>
  <c r="P265" i="8"/>
  <c r="J49" i="8"/>
  <c r="P49" i="8"/>
  <c r="O49" i="8"/>
  <c r="E295" i="8"/>
  <c r="P295" i="8"/>
  <c r="E245" i="8"/>
  <c r="E58" i="8"/>
  <c r="E100" i="8"/>
  <c r="F48" i="8"/>
  <c r="G65" i="8"/>
  <c r="F65" i="8"/>
  <c r="F42" i="8"/>
  <c r="E42" i="8"/>
  <c r="P42" i="8"/>
  <c r="F97" i="8"/>
  <c r="E97" i="8"/>
  <c r="P97" i="8"/>
  <c r="E65" i="8"/>
  <c r="P65" i="8"/>
  <c r="J150" i="8"/>
  <c r="J148" i="8"/>
  <c r="E101" i="8"/>
  <c r="G50" i="8"/>
  <c r="G41" i="8"/>
  <c r="F256" i="8"/>
  <c r="F255" i="8"/>
  <c r="E287" i="8"/>
  <c r="E274" i="8"/>
  <c r="E272" i="8"/>
  <c r="P272" i="8"/>
  <c r="P388" i="8"/>
  <c r="P394" i="8"/>
  <c r="P396" i="8"/>
  <c r="P398" i="8"/>
  <c r="P287" i="8"/>
  <c r="F274" i="8"/>
  <c r="F272" i="8"/>
  <c r="F388" i="8"/>
  <c r="H50" i="8"/>
  <c r="H41" i="8"/>
  <c r="P19" i="8"/>
  <c r="P170" i="8"/>
  <c r="P187" i="8"/>
  <c r="P233" i="8"/>
  <c r="M256" i="8"/>
  <c r="M255" i="8"/>
  <c r="P276" i="8"/>
  <c r="J259" i="8"/>
  <c r="K366" i="8"/>
  <c r="K364" i="8"/>
  <c r="L366" i="8"/>
  <c r="L364" i="8"/>
  <c r="H148" i="8"/>
  <c r="P369" i="8"/>
  <c r="O30" i="8"/>
  <c r="J30" i="8"/>
  <c r="K48" i="8"/>
  <c r="O48" i="8"/>
  <c r="J237" i="8"/>
  <c r="J236" i="8"/>
  <c r="J235" i="8"/>
  <c r="P357" i="8"/>
  <c r="J89" i="8"/>
  <c r="J48" i="8"/>
  <c r="P125" i="8"/>
  <c r="P185" i="8"/>
  <c r="P217" i="8"/>
  <c r="P304" i="8"/>
  <c r="P305" i="8"/>
  <c r="M366" i="8"/>
  <c r="M364" i="8"/>
  <c r="F243" i="8"/>
  <c r="F241" i="8"/>
  <c r="P119" i="8"/>
  <c r="P40" i="8"/>
  <c r="P92" i="8"/>
  <c r="P131" i="8"/>
  <c r="P167" i="8"/>
  <c r="P159" i="8"/>
  <c r="P171" i="8"/>
  <c r="P173" i="8"/>
  <c r="P183" i="8"/>
  <c r="P220" i="8"/>
  <c r="L256" i="8"/>
  <c r="L255" i="8"/>
  <c r="P282" i="8"/>
  <c r="P325" i="8"/>
  <c r="P107" i="8"/>
  <c r="P56" i="8"/>
  <c r="P383" i="8"/>
  <c r="J22" i="8"/>
  <c r="P34" i="8"/>
  <c r="P43" i="8"/>
  <c r="E219" i="8"/>
  <c r="P219" i="8"/>
  <c r="F99" i="8"/>
  <c r="F90" i="8"/>
  <c r="O39" i="8"/>
  <c r="J39" i="8"/>
  <c r="P39" i="8"/>
  <c r="K382" i="8"/>
  <c r="K381" i="8"/>
  <c r="P169" i="8"/>
  <c r="P270" i="8"/>
  <c r="K256" i="8"/>
  <c r="K255" i="8"/>
  <c r="J94" i="8"/>
  <c r="P94" i="8"/>
  <c r="O269" i="8"/>
  <c r="E149" i="8"/>
  <c r="P149" i="8"/>
  <c r="J326" i="8"/>
  <c r="J313" i="8"/>
  <c r="P313" i="8"/>
  <c r="P358" i="8"/>
  <c r="P360" i="8"/>
  <c r="P367" i="8"/>
  <c r="H243" i="8"/>
  <c r="H241" i="8"/>
  <c r="P237" i="8"/>
  <c r="E50" i="8"/>
  <c r="E41" i="8"/>
  <c r="P70" i="8"/>
  <c r="P23" i="8"/>
  <c r="P25" i="8"/>
  <c r="P33" i="8"/>
  <c r="P59" i="8"/>
  <c r="P63" i="8"/>
  <c r="P69" i="8"/>
  <c r="P79" i="8"/>
  <c r="P85" i="8"/>
  <c r="P87" i="8"/>
  <c r="O303" i="8"/>
  <c r="J303" i="8"/>
  <c r="J274" i="8"/>
  <c r="J272" i="8"/>
  <c r="P296" i="8"/>
  <c r="H388" i="8"/>
  <c r="P317" i="8"/>
  <c r="P351" i="8"/>
  <c r="J366" i="8"/>
  <c r="J364" i="8"/>
  <c r="E150" i="8"/>
  <c r="P150" i="8"/>
  <c r="P148" i="8"/>
  <c r="I148" i="8"/>
  <c r="J222" i="8"/>
  <c r="O221" i="8"/>
  <c r="O150" i="8"/>
  <c r="O148" i="8"/>
  <c r="J335" i="8"/>
  <c r="J308" i="8"/>
  <c r="P308" i="8"/>
  <c r="O308" i="8"/>
  <c r="P380" i="8"/>
  <c r="P379" i="8"/>
  <c r="P378" i="8"/>
  <c r="J312" i="8"/>
  <c r="P312" i="8"/>
  <c r="J273" i="8"/>
  <c r="P273" i="8"/>
  <c r="I274" i="8"/>
  <c r="I272" i="8"/>
  <c r="J246" i="8"/>
  <c r="P35" i="8"/>
  <c r="P54" i="8"/>
  <c r="J141" i="8"/>
  <c r="P141" i="8"/>
  <c r="O140" i="8"/>
  <c r="P146" i="8"/>
  <c r="P238" i="8"/>
  <c r="P240" i="8"/>
  <c r="E239" i="8"/>
  <c r="E252" i="8"/>
  <c r="P252" i="8"/>
  <c r="I243" i="8"/>
  <c r="I241" i="8"/>
  <c r="P267" i="8"/>
  <c r="J373" i="8"/>
  <c r="J372" i="8"/>
  <c r="P372" i="8"/>
  <c r="O372" i="8"/>
  <c r="O366" i="8"/>
  <c r="O364" i="8"/>
  <c r="J385" i="8"/>
  <c r="O382" i="8"/>
  <c r="O381" i="8"/>
  <c r="K16" i="8"/>
  <c r="K14" i="8"/>
  <c r="O17" i="8"/>
  <c r="P32" i="8"/>
  <c r="E16" i="8"/>
  <c r="E14" i="8"/>
  <c r="P209" i="8"/>
  <c r="P251" i="8"/>
  <c r="E267" i="8"/>
  <c r="P268" i="8"/>
  <c r="P48" i="8"/>
  <c r="P60" i="8"/>
  <c r="P100" i="8"/>
  <c r="P151" i="8"/>
  <c r="P117" i="8"/>
  <c r="P190" i="8"/>
  <c r="P27" i="8"/>
  <c r="P64" i="8"/>
  <c r="P110" i="8"/>
  <c r="P154" i="8"/>
  <c r="P155" i="8"/>
  <c r="P156" i="8"/>
  <c r="P160" i="8"/>
  <c r="P162" i="8"/>
  <c r="P163" i="8"/>
  <c r="P165" i="8"/>
  <c r="P166" i="8"/>
  <c r="P174" i="8"/>
  <c r="P175" i="8"/>
  <c r="P176" i="8"/>
  <c r="P253" i="8"/>
  <c r="P258" i="8"/>
  <c r="P260" i="8"/>
  <c r="E269" i="8"/>
  <c r="J262" i="8"/>
  <c r="P354" i="8"/>
  <c r="P373" i="8"/>
  <c r="P73" i="8"/>
  <c r="K99" i="8"/>
  <c r="K90" i="8"/>
  <c r="O101" i="8"/>
  <c r="J101" i="8"/>
  <c r="P101" i="8"/>
  <c r="F41" i="8"/>
  <c r="K315" i="8"/>
  <c r="K306" i="8"/>
  <c r="O331" i="8"/>
  <c r="J331" i="8"/>
  <c r="J315" i="8"/>
  <c r="J306" i="8"/>
  <c r="P303" i="8"/>
  <c r="P321" i="8"/>
  <c r="P327" i="8"/>
  <c r="P323" i="8"/>
  <c r="P339" i="8"/>
  <c r="O20" i="8"/>
  <c r="J20" i="8"/>
  <c r="P20" i="8"/>
  <c r="J21" i="8"/>
  <c r="O96" i="8"/>
  <c r="J106" i="8"/>
  <c r="J96" i="8"/>
  <c r="P96" i="8"/>
  <c r="E256" i="8"/>
  <c r="E255" i="8"/>
  <c r="P326" i="8"/>
  <c r="P89" i="8"/>
  <c r="O243" i="8"/>
  <c r="O241" i="8"/>
  <c r="P58" i="8"/>
  <c r="P62" i="8"/>
  <c r="O91" i="8"/>
  <c r="J102" i="8"/>
  <c r="P102" i="8"/>
  <c r="P264" i="8"/>
  <c r="P349" i="8"/>
  <c r="P30" i="8"/>
  <c r="P318" i="8"/>
  <c r="P142" i="8"/>
  <c r="P31" i="8"/>
  <c r="P108" i="8"/>
  <c r="P109" i="8"/>
  <c r="P124" i="8"/>
  <c r="P127" i="8"/>
  <c r="P134" i="8"/>
  <c r="P136" i="8"/>
  <c r="P137" i="8"/>
  <c r="P177" i="8"/>
  <c r="P180" i="8"/>
  <c r="P181" i="8"/>
  <c r="P254" i="8"/>
  <c r="J269" i="8"/>
  <c r="P168" i="8"/>
  <c r="P178" i="8"/>
  <c r="P179" i="8"/>
  <c r="P262" i="8"/>
  <c r="P263" i="8"/>
  <c r="P278" i="8"/>
  <c r="P290" i="8"/>
  <c r="P293" i="8"/>
  <c r="P288" i="8"/>
  <c r="P277" i="8"/>
  <c r="P297" i="8"/>
  <c r="P333" i="8"/>
  <c r="P347" i="8"/>
  <c r="P348" i="8"/>
  <c r="P350" i="8"/>
  <c r="P366" i="8"/>
  <c r="P21" i="8"/>
  <c r="P66" i="8"/>
  <c r="P248" i="8"/>
  <c r="P86" i="8"/>
  <c r="P82" i="8"/>
  <c r="P77" i="8"/>
  <c r="P75" i="8"/>
  <c r="P68" i="8"/>
  <c r="J41" i="8"/>
  <c r="P106" i="8"/>
  <c r="P334" i="8"/>
  <c r="J243" i="8"/>
  <c r="J241" i="8"/>
  <c r="P335" i="8"/>
  <c r="E148" i="8"/>
  <c r="E366" i="8"/>
  <c r="E364" i="8"/>
  <c r="O256" i="8"/>
  <c r="O255" i="8"/>
  <c r="J140" i="8"/>
  <c r="P140" i="8"/>
  <c r="O41" i="8"/>
  <c r="J91" i="8"/>
  <c r="P91" i="8"/>
  <c r="E99" i="8"/>
  <c r="E90" i="8"/>
  <c r="P275" i="8"/>
  <c r="P22" i="8"/>
  <c r="P284" i="8"/>
  <c r="P328" i="8"/>
  <c r="P153" i="8"/>
  <c r="P331" i="8"/>
  <c r="O315" i="8"/>
  <c r="O306" i="8"/>
  <c r="P83" i="8"/>
  <c r="P81" i="8"/>
  <c r="P352" i="8"/>
  <c r="J309" i="8"/>
  <c r="P309" i="8"/>
  <c r="P346" i="8"/>
  <c r="O309" i="8"/>
  <c r="G315" i="8"/>
  <c r="G306" i="8"/>
  <c r="G388" i="8"/>
  <c r="I315" i="8"/>
  <c r="I306" i="8"/>
  <c r="I388" i="8"/>
  <c r="P341" i="8"/>
  <c r="O340" i="8"/>
  <c r="J340" i="8"/>
  <c r="P340" i="8"/>
  <c r="O342" i="8"/>
  <c r="J342" i="8"/>
  <c r="P342" i="8"/>
  <c r="P343" i="8"/>
  <c r="E315" i="8"/>
  <c r="E306" i="8"/>
  <c r="P345" i="8"/>
  <c r="O344" i="8"/>
  <c r="J344" i="8"/>
  <c r="P344" i="8"/>
  <c r="P41" i="8"/>
  <c r="O274" i="8"/>
  <c r="O272" i="8"/>
  <c r="K388" i="8"/>
  <c r="K394" i="8"/>
  <c r="K396" i="8"/>
  <c r="K398" i="8"/>
  <c r="O16" i="8"/>
  <c r="O14" i="8"/>
  <c r="J17" i="8"/>
  <c r="O99" i="8"/>
  <c r="O90" i="8"/>
  <c r="P222" i="8"/>
  <c r="J221" i="8"/>
  <c r="P221" i="8"/>
  <c r="P364" i="8"/>
  <c r="P269" i="8"/>
  <c r="P385" i="8"/>
  <c r="P382" i="8"/>
  <c r="J382" i="8"/>
  <c r="J381" i="8"/>
  <c r="E236" i="8"/>
  <c r="E235" i="8"/>
  <c r="P235" i="8"/>
  <c r="P239" i="8"/>
  <c r="P236" i="8"/>
  <c r="P246" i="8"/>
  <c r="P242" i="8"/>
  <c r="J242" i="8"/>
  <c r="P99" i="8"/>
  <c r="P306" i="8"/>
  <c r="P315" i="8"/>
  <c r="P274" i="8"/>
  <c r="J99" i="8"/>
  <c r="J90" i="8"/>
  <c r="P90" i="8"/>
  <c r="P381" i="8"/>
  <c r="P17" i="8"/>
  <c r="O388" i="8"/>
  <c r="P243" i="8"/>
  <c r="E241" i="8"/>
  <c r="P241" i="8"/>
  <c r="P244" i="8"/>
  <c r="J256" i="8"/>
  <c r="J255" i="8"/>
  <c r="P257" i="8"/>
  <c r="P256" i="8"/>
  <c r="P255" i="8"/>
  <c r="J16" i="8"/>
  <c r="J14" i="8"/>
  <c r="J388" i="8"/>
  <c r="J394" i="8"/>
  <c r="J396" i="8"/>
  <c r="J398" i="8"/>
  <c r="E388" i="8"/>
  <c r="E394" i="8"/>
  <c r="E396" i="8"/>
  <c r="E398" i="8"/>
</calcChain>
</file>

<file path=xl/sharedStrings.xml><?xml version="1.0" encoding="utf-8"?>
<sst xmlns="http://schemas.openxmlformats.org/spreadsheetml/2006/main" count="1011" uniqueCount="663">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</sst>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rgb="FFFF000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0" fontId="24" fillId="0" borderId="1" xfId="0" applyFont="1" applyFill="1" applyBorder="1" applyAlignment="1">
      <alignment horizontal="justify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24" fillId="0" borderId="0" xfId="0" applyFont="1"/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9">
          <cell r="C109">
            <v>1085030641</v>
          </cell>
          <cell r="D109">
            <v>1054503783</v>
          </cell>
          <cell r="E109">
            <v>30526858</v>
          </cell>
          <cell r="F109">
            <v>2500000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3"/>
  <sheetViews>
    <sheetView tabSelected="1" topLeftCell="A9" zoomScaleNormal="100" zoomScaleSheetLayoutView="100" workbookViewId="0">
      <pane xSplit="4" ySplit="5" topLeftCell="E389" activePane="bottomRight" state="frozen"/>
      <selection activeCell="A9" sqref="A9"/>
      <selection pane="topRight" activeCell="E9" sqref="E9"/>
      <selection pane="bottomLeft" activeCell="A14" sqref="A14"/>
      <selection pane="bottomRight" activeCell="F293" sqref="F293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 customWidth="1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533</v>
      </c>
      <c r="P1" s="49"/>
    </row>
    <row r="2" spans="1:18" ht="24" customHeight="1" x14ac:dyDescent="0.2">
      <c r="C2" s="50"/>
      <c r="N2" s="115" t="s">
        <v>94</v>
      </c>
      <c r="O2" s="115"/>
      <c r="P2" s="115"/>
    </row>
    <row r="3" spans="1:18" x14ac:dyDescent="0.2">
      <c r="C3" s="51"/>
      <c r="N3" s="52" t="s">
        <v>534</v>
      </c>
      <c r="P3" s="53"/>
    </row>
    <row r="4" spans="1:18" ht="38.25" customHeight="1" x14ac:dyDescent="0.2">
      <c r="C4" s="51"/>
      <c r="N4" s="115"/>
      <c r="O4" s="115"/>
      <c r="P4" s="115"/>
    </row>
    <row r="5" spans="1:18" ht="17.25" x14ac:dyDescent="0.25">
      <c r="C5" s="116" t="s">
        <v>612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1:18" ht="17.25" x14ac:dyDescent="0.25">
      <c r="A6" s="54" t="s">
        <v>605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8" x14ac:dyDescent="0.2">
      <c r="A7" s="55" t="s">
        <v>581</v>
      </c>
    </row>
    <row r="8" spans="1:18" x14ac:dyDescent="0.2">
      <c r="C8" s="56"/>
      <c r="P8" s="57" t="s">
        <v>580</v>
      </c>
    </row>
    <row r="9" spans="1:18" ht="15" x14ac:dyDescent="0.25">
      <c r="A9" s="105" t="s">
        <v>536</v>
      </c>
      <c r="B9" s="106" t="s">
        <v>537</v>
      </c>
      <c r="C9" s="107" t="s">
        <v>538</v>
      </c>
      <c r="D9" s="108" t="s">
        <v>539</v>
      </c>
      <c r="E9" s="112" t="s">
        <v>107</v>
      </c>
      <c r="F9" s="112"/>
      <c r="G9" s="112"/>
      <c r="H9" s="112"/>
      <c r="I9" s="112"/>
      <c r="J9" s="112" t="s">
        <v>108</v>
      </c>
      <c r="K9" s="112"/>
      <c r="L9" s="112"/>
      <c r="M9" s="112"/>
      <c r="N9" s="112"/>
      <c r="O9" s="112"/>
      <c r="P9" s="112" t="s">
        <v>109</v>
      </c>
    </row>
    <row r="10" spans="1:18" ht="22.5" customHeight="1" x14ac:dyDescent="0.2">
      <c r="A10" s="105"/>
      <c r="B10" s="106"/>
      <c r="C10" s="107"/>
      <c r="D10" s="108"/>
      <c r="E10" s="111" t="s">
        <v>540</v>
      </c>
      <c r="F10" s="113" t="s">
        <v>110</v>
      </c>
      <c r="G10" s="111" t="s">
        <v>111</v>
      </c>
      <c r="H10" s="111"/>
      <c r="I10" s="111" t="s">
        <v>112</v>
      </c>
      <c r="J10" s="114" t="s">
        <v>541</v>
      </c>
      <c r="K10" s="114" t="s">
        <v>542</v>
      </c>
      <c r="L10" s="111" t="s">
        <v>110</v>
      </c>
      <c r="M10" s="111" t="s">
        <v>111</v>
      </c>
      <c r="N10" s="111"/>
      <c r="O10" s="111" t="s">
        <v>112</v>
      </c>
      <c r="P10" s="112"/>
    </row>
    <row r="11" spans="1:18" ht="21.75" customHeight="1" x14ac:dyDescent="0.2">
      <c r="A11" s="105"/>
      <c r="B11" s="106"/>
      <c r="C11" s="107"/>
      <c r="D11" s="108"/>
      <c r="E11" s="111"/>
      <c r="F11" s="113"/>
      <c r="G11" s="111" t="s">
        <v>113</v>
      </c>
      <c r="H11" s="111" t="s">
        <v>114</v>
      </c>
      <c r="I11" s="111"/>
      <c r="J11" s="114"/>
      <c r="K11" s="114"/>
      <c r="L11" s="111"/>
      <c r="M11" s="111" t="s">
        <v>113</v>
      </c>
      <c r="N11" s="111" t="s">
        <v>114</v>
      </c>
      <c r="O11" s="111"/>
      <c r="P11" s="112"/>
    </row>
    <row r="12" spans="1:18" ht="31.5" customHeight="1" x14ac:dyDescent="0.2">
      <c r="A12" s="105"/>
      <c r="B12" s="106"/>
      <c r="C12" s="107"/>
      <c r="D12" s="108"/>
      <c r="E12" s="111"/>
      <c r="F12" s="113"/>
      <c r="G12" s="111"/>
      <c r="H12" s="111"/>
      <c r="I12" s="111"/>
      <c r="J12" s="114"/>
      <c r="K12" s="114"/>
      <c r="L12" s="111"/>
      <c r="M12" s="111"/>
      <c r="N12" s="111"/>
      <c r="O12" s="111"/>
      <c r="P12" s="112"/>
    </row>
    <row r="13" spans="1:18" s="61" customFormat="1" x14ac:dyDescent="0.2">
      <c r="A13" s="59">
        <v>1</v>
      </c>
      <c r="B13" s="59" t="s">
        <v>74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167</v>
      </c>
      <c r="B14" s="6"/>
      <c r="C14" s="7"/>
      <c r="D14" s="31" t="s">
        <v>115</v>
      </c>
      <c r="E14" s="13">
        <f>E16</f>
        <v>63887819</v>
      </c>
      <c r="F14" s="13">
        <f t="shared" ref="F14:P14" si="0">F16</f>
        <v>63887819</v>
      </c>
      <c r="G14" s="13">
        <f t="shared" si="0"/>
        <v>38979900</v>
      </c>
      <c r="H14" s="13">
        <f t="shared" si="0"/>
        <v>1102500</v>
      </c>
      <c r="I14" s="13">
        <f t="shared" si="0"/>
        <v>0</v>
      </c>
      <c r="J14" s="13">
        <f>J16</f>
        <v>2651000</v>
      </c>
      <c r="K14" s="13">
        <f>K16</f>
        <v>1151000</v>
      </c>
      <c r="L14" s="13">
        <f t="shared" si="0"/>
        <v>1000000</v>
      </c>
      <c r="M14" s="13">
        <f t="shared" si="0"/>
        <v>0</v>
      </c>
      <c r="N14" s="13">
        <f t="shared" si="0"/>
        <v>0</v>
      </c>
      <c r="O14" s="13">
        <f t="shared" si="0"/>
        <v>1651000</v>
      </c>
      <c r="P14" s="13">
        <f t="shared" si="0"/>
        <v>66538819</v>
      </c>
      <c r="R14" s="34"/>
    </row>
    <row r="15" spans="1:18" s="1" customFormat="1" ht="13.5" hidden="1" x14ac:dyDescent="0.2">
      <c r="A15" s="63"/>
      <c r="B15" s="64"/>
      <c r="C15" s="65"/>
      <c r="D15" s="35" t="s">
        <v>483</v>
      </c>
      <c r="E15" s="10">
        <f>E26</f>
        <v>0</v>
      </c>
      <c r="F15" s="66">
        <f>F26</f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>
        <f>P26</f>
        <v>0</v>
      </c>
    </row>
    <row r="16" spans="1:18" s="37" customFormat="1" ht="17.25" customHeight="1" x14ac:dyDescent="0.2">
      <c r="A16" s="67" t="s">
        <v>174</v>
      </c>
      <c r="B16" s="6"/>
      <c r="C16" s="7"/>
      <c r="D16" s="15" t="s">
        <v>115</v>
      </c>
      <c r="E16" s="68">
        <f>E17+E20+E40+E22+E25+E29+E27+E34+E35+E38+E30+E33+E18+E32</f>
        <v>63887819</v>
      </c>
      <c r="F16" s="68">
        <f>F17+F20+F40+F22+F25+F29+F27+F34+F35+F38+F30+F33+F18+F32</f>
        <v>63887819</v>
      </c>
      <c r="G16" s="68">
        <f>G17+G20+G40+G22+G25+G29+G27+G34+G35+G38+G30+G33+G18</f>
        <v>38979900</v>
      </c>
      <c r="H16" s="68">
        <f>H17+H20+H40+H22+H25+H29+H27+H34+H35+H38+H30+H33+H18</f>
        <v>1102500</v>
      </c>
      <c r="I16" s="68">
        <f>I17+I20+I40+I22+I25+I29+I27+I34+I35+I38+I30+I33+I18</f>
        <v>0</v>
      </c>
      <c r="J16" s="68">
        <f>J17+J32+J34+J31+J37+J38</f>
        <v>2651000</v>
      </c>
      <c r="K16" s="68">
        <f>K17+K20+K40+K22+K25+K29+K27+K34+K35+K38+K30+K33+K18+K37+K32</f>
        <v>1151000</v>
      </c>
      <c r="L16" s="68">
        <f>L17+L20+L40+L22+L25+L29+L27+L34+L35+L38+L30+L33+L18+L37+L31</f>
        <v>1000000</v>
      </c>
      <c r="M16" s="68">
        <f>M17+M20+M40+M22+M25+M29+M27+M34+M35+M38+M30+M33+M18+M37</f>
        <v>0</v>
      </c>
      <c r="N16" s="68">
        <f>N17+N20+N40+N22+N25+N29+N27+N34+N35+N38+N30+N33+N18+N37</f>
        <v>0</v>
      </c>
      <c r="O16" s="68">
        <f>O17+O32+O34+O31</f>
        <v>1651000</v>
      </c>
      <c r="P16" s="68">
        <f>P17+P25+P27+P29+P31+P32+P34+P37+P38+P40</f>
        <v>66538819</v>
      </c>
    </row>
    <row r="17" spans="1:17" ht="41.25" customHeight="1" x14ac:dyDescent="0.2">
      <c r="A17" s="41" t="s">
        <v>175</v>
      </c>
      <c r="B17" s="4" t="s">
        <v>172</v>
      </c>
      <c r="C17" s="4" t="s">
        <v>116</v>
      </c>
      <c r="D17" s="23" t="s">
        <v>173</v>
      </c>
      <c r="E17" s="11">
        <f t="shared" ref="E17:E24" si="1">F17+I17</f>
        <v>52520700</v>
      </c>
      <c r="F17" s="11">
        <f>56314700-3794000</f>
        <v>52520700</v>
      </c>
      <c r="G17" s="11">
        <f>42050000-3070100</f>
        <v>38979900</v>
      </c>
      <c r="H17" s="11">
        <f>1181000-78500</f>
        <v>1102500</v>
      </c>
      <c r="I17" s="11"/>
      <c r="J17" s="11">
        <f>L17+O17</f>
        <v>1109000</v>
      </c>
      <c r="K17" s="11">
        <f>1109000</f>
        <v>1109000</v>
      </c>
      <c r="L17" s="11"/>
      <c r="M17" s="11"/>
      <c r="N17" s="11"/>
      <c r="O17" s="11">
        <f>K17</f>
        <v>1109000</v>
      </c>
      <c r="P17" s="13">
        <f t="shared" ref="P17:P40" si="2">E17+J17</f>
        <v>53629700</v>
      </c>
    </row>
    <row r="18" spans="1:17" ht="25.5" hidden="1" x14ac:dyDescent="0.2">
      <c r="A18" s="41" t="s">
        <v>543</v>
      </c>
      <c r="B18" s="4" t="s">
        <v>544</v>
      </c>
      <c r="C18" s="4"/>
      <c r="D18" s="5" t="s">
        <v>547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545</v>
      </c>
      <c r="B19" s="3" t="s">
        <v>546</v>
      </c>
      <c r="C19" s="3" t="s">
        <v>190</v>
      </c>
      <c r="D19" s="69" t="s">
        <v>548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430</v>
      </c>
      <c r="B20" s="4" t="s">
        <v>406</v>
      </c>
      <c r="C20" s="4"/>
      <c r="D20" s="5" t="s">
        <v>16</v>
      </c>
      <c r="E20" s="11">
        <f t="shared" si="1"/>
        <v>0</v>
      </c>
      <c r="F20" s="12"/>
      <c r="G20" s="12"/>
      <c r="H20" s="12"/>
      <c r="I20" s="12"/>
      <c r="J20" s="11">
        <f t="shared" ref="J20:J40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431</v>
      </c>
      <c r="B21" s="3" t="s">
        <v>408</v>
      </c>
      <c r="C21" s="3" t="s">
        <v>118</v>
      </c>
      <c r="D21" s="70" t="s">
        <v>427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</v>
      </c>
      <c r="B22" s="4" t="s">
        <v>25</v>
      </c>
      <c r="C22" s="4"/>
      <c r="D22" s="72" t="s">
        <v>18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20</v>
      </c>
      <c r="B23" s="3" t="s">
        <v>26</v>
      </c>
      <c r="C23" s="3" t="s">
        <v>55</v>
      </c>
      <c r="D23" s="73" t="s">
        <v>21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602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177</v>
      </c>
      <c r="B25" s="20" t="s">
        <v>176</v>
      </c>
      <c r="C25" s="20" t="s">
        <v>4</v>
      </c>
      <c r="D25" s="5" t="s">
        <v>76</v>
      </c>
      <c r="E25" s="11">
        <f t="shared" ref="E25:E33" si="5">F25+I25</f>
        <v>500000</v>
      </c>
      <c r="F25" s="71">
        <v>500000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500000</v>
      </c>
    </row>
    <row r="26" spans="1:17" s="1" customFormat="1" hidden="1" x14ac:dyDescent="0.2">
      <c r="A26" s="36"/>
      <c r="B26" s="22"/>
      <c r="C26" s="22"/>
      <c r="D26" s="35" t="s">
        <v>483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180</v>
      </c>
      <c r="B27" s="4" t="s">
        <v>179</v>
      </c>
      <c r="C27" s="4" t="s">
        <v>123</v>
      </c>
      <c r="D27" s="47" t="s">
        <v>78</v>
      </c>
      <c r="E27" s="11">
        <f t="shared" si="5"/>
        <v>400000</v>
      </c>
      <c r="F27" s="71">
        <v>400000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400000</v>
      </c>
    </row>
    <row r="28" spans="1:17" hidden="1" x14ac:dyDescent="0.2">
      <c r="A28" s="41" t="s">
        <v>489</v>
      </c>
      <c r="B28" s="4" t="s">
        <v>178</v>
      </c>
      <c r="C28" s="8" t="s">
        <v>122</v>
      </c>
      <c r="D28" s="21" t="s">
        <v>490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381</v>
      </c>
      <c r="B29" s="4" t="s">
        <v>380</v>
      </c>
      <c r="C29" s="4" t="s">
        <v>122</v>
      </c>
      <c r="D29" s="21" t="s">
        <v>382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184</v>
      </c>
      <c r="B30" s="4" t="s">
        <v>183</v>
      </c>
      <c r="C30" s="4"/>
      <c r="D30" s="21" t="s">
        <v>185</v>
      </c>
      <c r="E30" s="11">
        <f t="shared" si="5"/>
        <v>0</v>
      </c>
      <c r="F30" s="11"/>
      <c r="G30" s="11"/>
      <c r="H30" s="11"/>
      <c r="I30" s="11"/>
      <c r="J30" s="11">
        <f t="shared" si="3"/>
        <v>500000</v>
      </c>
      <c r="K30" s="11"/>
      <c r="L30" s="11"/>
      <c r="M30" s="11"/>
      <c r="N30" s="11"/>
      <c r="O30" s="11">
        <f>O31+O32</f>
        <v>500000</v>
      </c>
      <c r="P30" s="13">
        <f t="shared" si="2"/>
        <v>500000</v>
      </c>
    </row>
    <row r="31" spans="1:17" ht="63.75" x14ac:dyDescent="0.2">
      <c r="A31" s="41" t="s">
        <v>391</v>
      </c>
      <c r="B31" s="4" t="s">
        <v>390</v>
      </c>
      <c r="C31" s="4" t="s">
        <v>122</v>
      </c>
      <c r="D31" s="21" t="s">
        <v>423</v>
      </c>
      <c r="E31" s="11">
        <f t="shared" si="5"/>
        <v>0</v>
      </c>
      <c r="F31" s="11"/>
      <c r="G31" s="11"/>
      <c r="H31" s="11"/>
      <c r="I31" s="11"/>
      <c r="J31" s="11">
        <f t="shared" si="3"/>
        <v>1300000</v>
      </c>
      <c r="K31" s="11"/>
      <c r="L31" s="11">
        <v>800000</v>
      </c>
      <c r="M31" s="11"/>
      <c r="N31" s="11"/>
      <c r="O31" s="11">
        <v>500000</v>
      </c>
      <c r="P31" s="13">
        <f t="shared" si="2"/>
        <v>1300000</v>
      </c>
    </row>
    <row r="32" spans="1:17" x14ac:dyDescent="0.2">
      <c r="A32" s="41" t="s">
        <v>186</v>
      </c>
      <c r="B32" s="4" t="s">
        <v>187</v>
      </c>
      <c r="C32" s="4" t="s">
        <v>122</v>
      </c>
      <c r="D32" s="21" t="s">
        <v>188</v>
      </c>
      <c r="E32" s="11">
        <f t="shared" si="5"/>
        <v>6470719</v>
      </c>
      <c r="F32" s="11">
        <f>403519+5975300+91900</f>
        <v>6470719</v>
      </c>
      <c r="G32" s="11"/>
      <c r="H32" s="11"/>
      <c r="I32" s="11"/>
      <c r="J32" s="11">
        <f t="shared" si="3"/>
        <v>0</v>
      </c>
      <c r="K32" s="11"/>
      <c r="L32" s="11"/>
      <c r="M32" s="11"/>
      <c r="N32" s="11"/>
      <c r="O32" s="11">
        <f>K32</f>
        <v>0</v>
      </c>
      <c r="P32" s="13">
        <f t="shared" si="2"/>
        <v>6470719</v>
      </c>
    </row>
    <row r="33" spans="1:18" hidden="1" x14ac:dyDescent="0.2">
      <c r="A33" s="41" t="s">
        <v>81</v>
      </c>
      <c r="B33" s="20" t="s">
        <v>27</v>
      </c>
      <c r="C33" s="20" t="s">
        <v>129</v>
      </c>
      <c r="D33" s="14" t="s">
        <v>130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182</v>
      </c>
      <c r="B34" s="4" t="s">
        <v>181</v>
      </c>
      <c r="C34" s="4" t="s">
        <v>125</v>
      </c>
      <c r="D34" s="14" t="s">
        <v>392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77</v>
      </c>
      <c r="B35" s="4" t="s">
        <v>62</v>
      </c>
      <c r="C35" s="4" t="s">
        <v>126</v>
      </c>
      <c r="D35" s="14" t="s">
        <v>127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468</v>
      </c>
      <c r="B36" s="4" t="s">
        <v>469</v>
      </c>
      <c r="C36" s="4"/>
      <c r="D36" s="14" t="s">
        <v>472</v>
      </c>
      <c r="E36" s="11"/>
      <c r="F36" s="25"/>
      <c r="G36" s="25"/>
      <c r="H36" s="25"/>
      <c r="I36" s="25"/>
      <c r="J36" s="11">
        <f t="shared" si="3"/>
        <v>0</v>
      </c>
      <c r="K36" s="25"/>
      <c r="L36" s="12"/>
      <c r="M36" s="12"/>
      <c r="N36" s="12"/>
      <c r="O36" s="12">
        <f>O37</f>
        <v>0</v>
      </c>
      <c r="P36" s="13">
        <f t="shared" si="2"/>
        <v>0</v>
      </c>
    </row>
    <row r="37" spans="1:18" x14ac:dyDescent="0.2">
      <c r="A37" s="41" t="s">
        <v>470</v>
      </c>
      <c r="B37" s="4" t="s">
        <v>471</v>
      </c>
      <c r="C37" s="4" t="s">
        <v>124</v>
      </c>
      <c r="D37" s="14" t="s">
        <v>128</v>
      </c>
      <c r="E37" s="11"/>
      <c r="F37" s="25"/>
      <c r="G37" s="25"/>
      <c r="H37" s="25"/>
      <c r="I37" s="25"/>
      <c r="J37" s="11">
        <f t="shared" si="3"/>
        <v>165000</v>
      </c>
      <c r="K37" s="25"/>
      <c r="L37" s="12">
        <f>165000</f>
        <v>165000</v>
      </c>
      <c r="M37" s="12"/>
      <c r="N37" s="12"/>
      <c r="O37" s="71"/>
      <c r="P37" s="13">
        <f t="shared" si="2"/>
        <v>165000</v>
      </c>
    </row>
    <row r="38" spans="1:18" x14ac:dyDescent="0.2">
      <c r="A38" s="41" t="s">
        <v>473</v>
      </c>
      <c r="B38" s="4" t="s">
        <v>474</v>
      </c>
      <c r="C38" s="4" t="s">
        <v>356</v>
      </c>
      <c r="D38" s="72" t="s">
        <v>475</v>
      </c>
      <c r="E38" s="11">
        <f>F38+I38</f>
        <v>0</v>
      </c>
      <c r="F38" s="11"/>
      <c r="G38" s="11"/>
      <c r="H38" s="11"/>
      <c r="I38" s="11"/>
      <c r="J38" s="11">
        <f t="shared" si="3"/>
        <v>35000</v>
      </c>
      <c r="K38" s="11"/>
      <c r="L38" s="11">
        <f>35000</f>
        <v>35000</v>
      </c>
      <c r="M38" s="11"/>
      <c r="N38" s="11"/>
      <c r="O38" s="11"/>
      <c r="P38" s="13">
        <f t="shared" si="2"/>
        <v>35000</v>
      </c>
    </row>
    <row r="39" spans="1:18" hidden="1" x14ac:dyDescent="0.2">
      <c r="A39" s="74"/>
      <c r="B39" s="3"/>
      <c r="C39" s="3"/>
      <c r="D39" s="70" t="s">
        <v>128</v>
      </c>
      <c r="E39" s="11">
        <f>F39+I39</f>
        <v>0</v>
      </c>
      <c r="F39" s="10"/>
      <c r="G39" s="10"/>
      <c r="H39" s="10"/>
      <c r="I39" s="10"/>
      <c r="J39" s="11">
        <f t="shared" si="3"/>
        <v>500000</v>
      </c>
      <c r="K39" s="10"/>
      <c r="L39" s="10"/>
      <c r="M39" s="10"/>
      <c r="N39" s="10"/>
      <c r="O39" s="11">
        <f>O30</f>
        <v>500000</v>
      </c>
      <c r="P39" s="13">
        <f t="shared" si="2"/>
        <v>500000</v>
      </c>
    </row>
    <row r="40" spans="1:18" x14ac:dyDescent="0.2">
      <c r="A40" s="41" t="s">
        <v>617</v>
      </c>
      <c r="B40" s="4" t="s">
        <v>616</v>
      </c>
      <c r="C40" s="4" t="s">
        <v>120</v>
      </c>
      <c r="D40" s="75" t="s">
        <v>618</v>
      </c>
      <c r="E40" s="11">
        <f>F40+I40</f>
        <v>3722300</v>
      </c>
      <c r="F40" s="11">
        <v>3722300</v>
      </c>
      <c r="G40" s="11"/>
      <c r="H40" s="11"/>
      <c r="I40" s="11"/>
      <c r="J40" s="11">
        <f t="shared" si="3"/>
        <v>0</v>
      </c>
      <c r="K40" s="11"/>
      <c r="L40" s="11"/>
      <c r="M40" s="11"/>
      <c r="N40" s="11"/>
      <c r="O40" s="71">
        <f>K40</f>
        <v>0</v>
      </c>
      <c r="P40" s="13">
        <f t="shared" si="2"/>
        <v>3722300</v>
      </c>
    </row>
    <row r="41" spans="1:18" x14ac:dyDescent="0.2">
      <c r="A41" s="62" t="s">
        <v>168</v>
      </c>
      <c r="B41" s="6"/>
      <c r="C41" s="7"/>
      <c r="D41" s="31" t="s">
        <v>131</v>
      </c>
      <c r="E41" s="25">
        <f>E50</f>
        <v>551060803</v>
      </c>
      <c r="F41" s="25">
        <f t="shared" ref="F41:P41" si="6">F50</f>
        <v>551060803</v>
      </c>
      <c r="G41" s="25">
        <f t="shared" si="6"/>
        <v>391635330</v>
      </c>
      <c r="H41" s="25">
        <f t="shared" si="6"/>
        <v>45051546</v>
      </c>
      <c r="I41" s="25"/>
      <c r="J41" s="25">
        <f t="shared" si="6"/>
        <v>39078170</v>
      </c>
      <c r="K41" s="25">
        <f>K50</f>
        <v>17314940</v>
      </c>
      <c r="L41" s="25">
        <f t="shared" si="6"/>
        <v>21671830</v>
      </c>
      <c r="M41" s="25">
        <f t="shared" si="6"/>
        <v>1262830</v>
      </c>
      <c r="N41" s="25">
        <f t="shared" si="6"/>
        <v>73850</v>
      </c>
      <c r="O41" s="25">
        <f t="shared" si="6"/>
        <v>17406340</v>
      </c>
      <c r="P41" s="25">
        <f t="shared" si="6"/>
        <v>590138973</v>
      </c>
      <c r="Q41" s="39"/>
      <c r="R41" s="34"/>
    </row>
    <row r="42" spans="1:18" s="1" customFormat="1" x14ac:dyDescent="0.2">
      <c r="A42" s="36"/>
      <c r="B42" s="18"/>
      <c r="C42" s="3"/>
      <c r="D42" s="35" t="s">
        <v>82</v>
      </c>
      <c r="E42" s="10">
        <f>F42</f>
        <v>246445600</v>
      </c>
      <c r="F42" s="17">
        <f>F65+F71</f>
        <v>246445600</v>
      </c>
      <c r="G42" s="17">
        <f>G58+G71</f>
        <v>202004600</v>
      </c>
      <c r="H42" s="17">
        <f>H58+H68+H80</f>
        <v>0</v>
      </c>
      <c r="I42" s="17"/>
      <c r="J42" s="10">
        <f>L42+O42</f>
        <v>0</v>
      </c>
      <c r="K42" s="17">
        <v>0</v>
      </c>
      <c r="L42" s="17">
        <f>SUM(L58+L63+L68)</f>
        <v>0</v>
      </c>
      <c r="M42" s="17">
        <f>SUM(M58+M63+M68)</f>
        <v>0</v>
      </c>
      <c r="N42" s="17">
        <f>SUM(N58+N63+N68)</f>
        <v>0</v>
      </c>
      <c r="O42" s="17">
        <v>0</v>
      </c>
      <c r="P42" s="13">
        <f t="shared" ref="P42:P49" si="7">E42+J42</f>
        <v>246445600</v>
      </c>
    </row>
    <row r="43" spans="1:18" s="1" customFormat="1" ht="25.5" hidden="1" x14ac:dyDescent="0.2">
      <c r="A43" s="36"/>
      <c r="B43" s="18"/>
      <c r="C43" s="3"/>
      <c r="D43" s="35" t="s">
        <v>466</v>
      </c>
      <c r="E43" s="10">
        <f>F43</f>
        <v>0</v>
      </c>
      <c r="F43" s="17">
        <f>F63</f>
        <v>0</v>
      </c>
      <c r="G43" s="17">
        <f>G63</f>
        <v>0</v>
      </c>
      <c r="H43" s="17"/>
      <c r="I43" s="17"/>
      <c r="J43" s="10">
        <f>L43+O43</f>
        <v>0</v>
      </c>
      <c r="K43" s="17">
        <f>K63</f>
        <v>0</v>
      </c>
      <c r="L43" s="17">
        <f>L63</f>
        <v>0</v>
      </c>
      <c r="M43" s="17">
        <f>M63</f>
        <v>0</v>
      </c>
      <c r="N43" s="17">
        <f>N63</f>
        <v>0</v>
      </c>
      <c r="O43" s="17">
        <f>K43</f>
        <v>0</v>
      </c>
      <c r="P43" s="13">
        <f t="shared" si="7"/>
        <v>0</v>
      </c>
    </row>
    <row r="44" spans="1:18" s="1" customFormat="1" ht="38.25" x14ac:dyDescent="0.2">
      <c r="A44" s="36"/>
      <c r="B44" s="18"/>
      <c r="C44" s="3"/>
      <c r="D44" s="35" t="s">
        <v>645</v>
      </c>
      <c r="E44" s="10">
        <f>E57</f>
        <v>5453446</v>
      </c>
      <c r="F44" s="17">
        <f>F57</f>
        <v>5453446</v>
      </c>
      <c r="G44" s="17"/>
      <c r="H44" s="17">
        <f>H57</f>
        <v>5453446</v>
      </c>
      <c r="I44" s="17"/>
      <c r="J44" s="10">
        <f>L44+O44</f>
        <v>0</v>
      </c>
      <c r="K44" s="17">
        <f>K64+K55+K57+K74</f>
        <v>0</v>
      </c>
      <c r="L44" s="17"/>
      <c r="M44" s="17"/>
      <c r="N44" s="17"/>
      <c r="O44" s="17">
        <f>K44</f>
        <v>0</v>
      </c>
      <c r="P44" s="13">
        <f>P57</f>
        <v>5453446</v>
      </c>
    </row>
    <row r="45" spans="1:18" s="1" customFormat="1" ht="25.5" hidden="1" x14ac:dyDescent="0.2">
      <c r="A45" s="36"/>
      <c r="B45" s="22"/>
      <c r="C45" s="22"/>
      <c r="D45" s="24" t="s">
        <v>479</v>
      </c>
      <c r="E45" s="10">
        <f>F45+I45</f>
        <v>0</v>
      </c>
      <c r="F45" s="17">
        <f>F64</f>
        <v>0</v>
      </c>
      <c r="G45" s="17"/>
      <c r="H45" s="17"/>
      <c r="I45" s="17"/>
      <c r="J45" s="10"/>
      <c r="K45" s="17"/>
      <c r="L45" s="17"/>
      <c r="M45" s="17"/>
      <c r="N45" s="17"/>
      <c r="O45" s="17"/>
      <c r="P45" s="13">
        <f t="shared" si="7"/>
        <v>0</v>
      </c>
    </row>
    <row r="46" spans="1:18" s="1" customFormat="1" ht="25.5" x14ac:dyDescent="0.2">
      <c r="A46" s="36"/>
      <c r="B46" s="22"/>
      <c r="C46" s="22"/>
      <c r="D46" s="24" t="s">
        <v>564</v>
      </c>
      <c r="E46" s="10">
        <f>F46</f>
        <v>3774641</v>
      </c>
      <c r="F46" s="17">
        <f>F85</f>
        <v>3774641</v>
      </c>
      <c r="G46" s="17">
        <f>G85</f>
        <v>3094000</v>
      </c>
      <c r="H46" s="17"/>
      <c r="I46" s="17"/>
      <c r="J46" s="10"/>
      <c r="K46" s="17"/>
      <c r="L46" s="17"/>
      <c r="M46" s="17"/>
      <c r="N46" s="17"/>
      <c r="O46" s="17"/>
      <c r="P46" s="13">
        <f t="shared" si="7"/>
        <v>3774641</v>
      </c>
    </row>
    <row r="47" spans="1:18" s="1" customFormat="1" ht="38.25" hidden="1" x14ac:dyDescent="0.2">
      <c r="A47" s="36"/>
      <c r="B47" s="22"/>
      <c r="C47" s="22"/>
      <c r="D47" s="24" t="s">
        <v>593</v>
      </c>
      <c r="E47" s="10">
        <f>F47</f>
        <v>0</v>
      </c>
      <c r="F47" s="10">
        <f>F54</f>
        <v>0</v>
      </c>
      <c r="G47" s="10">
        <f>G61</f>
        <v>0</v>
      </c>
      <c r="H47" s="10">
        <f>H61</f>
        <v>0</v>
      </c>
      <c r="I47" s="10">
        <f>I61</f>
        <v>0</v>
      </c>
      <c r="J47" s="10">
        <f>L47+O47</f>
        <v>0</v>
      </c>
      <c r="K47" s="17">
        <f>K61</f>
        <v>0</v>
      </c>
      <c r="L47" s="17"/>
      <c r="M47" s="17"/>
      <c r="N47" s="17"/>
      <c r="O47" s="17">
        <f>O61</f>
        <v>0</v>
      </c>
      <c r="P47" s="13">
        <f t="shared" si="7"/>
        <v>0</v>
      </c>
    </row>
    <row r="48" spans="1:18" s="1" customFormat="1" ht="38.25" x14ac:dyDescent="0.2">
      <c r="A48" s="36"/>
      <c r="B48" s="18"/>
      <c r="C48" s="3"/>
      <c r="D48" s="35" t="s">
        <v>500</v>
      </c>
      <c r="E48" s="10">
        <f>E89</f>
        <v>1646726</v>
      </c>
      <c r="F48" s="10">
        <f>F89</f>
        <v>1646726</v>
      </c>
      <c r="G48" s="10">
        <f>G89</f>
        <v>1021900</v>
      </c>
      <c r="H48" s="10">
        <f>H70+H81</f>
        <v>0</v>
      </c>
      <c r="I48" s="10">
        <f>I70+I81</f>
        <v>0</v>
      </c>
      <c r="J48" s="10">
        <f>J89</f>
        <v>835608</v>
      </c>
      <c r="K48" s="10">
        <f>K89</f>
        <v>835608</v>
      </c>
      <c r="L48" s="10">
        <f>L70+L81+L53</f>
        <v>0</v>
      </c>
      <c r="M48" s="10">
        <f>M70+M81+M53</f>
        <v>0</v>
      </c>
      <c r="N48" s="10">
        <f>N70+N81+N53</f>
        <v>0</v>
      </c>
      <c r="O48" s="10">
        <f>K48</f>
        <v>835608</v>
      </c>
      <c r="P48" s="13">
        <f t="shared" si="7"/>
        <v>2482334</v>
      </c>
    </row>
    <row r="49" spans="1:16" s="1" customFormat="1" ht="38.25" hidden="1" x14ac:dyDescent="0.2">
      <c r="A49" s="36"/>
      <c r="B49" s="18"/>
      <c r="C49" s="3"/>
      <c r="D49" s="35" t="s">
        <v>511</v>
      </c>
      <c r="E49" s="10"/>
      <c r="F49" s="10"/>
      <c r="G49" s="10">
        <f t="shared" ref="G49:N49" si="8">G57</f>
        <v>0</v>
      </c>
      <c r="H49" s="10">
        <f t="shared" si="8"/>
        <v>5453446</v>
      </c>
      <c r="I49" s="10">
        <f t="shared" si="8"/>
        <v>0</v>
      </c>
      <c r="J49" s="10">
        <f>K49</f>
        <v>0</v>
      </c>
      <c r="K49" s="10">
        <f>K62+K54</f>
        <v>0</v>
      </c>
      <c r="L49" s="10">
        <f t="shared" si="8"/>
        <v>0</v>
      </c>
      <c r="M49" s="10">
        <f t="shared" si="8"/>
        <v>0</v>
      </c>
      <c r="N49" s="10">
        <f t="shared" si="8"/>
        <v>0</v>
      </c>
      <c r="O49" s="10">
        <f>K49</f>
        <v>0</v>
      </c>
      <c r="P49" s="13">
        <f t="shared" si="7"/>
        <v>0</v>
      </c>
    </row>
    <row r="50" spans="1:16" x14ac:dyDescent="0.2">
      <c r="A50" s="41" t="s">
        <v>189</v>
      </c>
      <c r="B50" s="8"/>
      <c r="C50" s="7"/>
      <c r="D50" s="14" t="s">
        <v>131</v>
      </c>
      <c r="E50" s="25">
        <f>E51+E52+E56+E58+E67+E68+E73+E75+E79+E82+E84+E85+E88+E72</f>
        <v>551060803</v>
      </c>
      <c r="F50" s="25">
        <f>F51+F52+F56+F58+F67+F68+F73+F75+F79+F82+F84+F85+F88+F72</f>
        <v>551060803</v>
      </c>
      <c r="G50" s="25">
        <f t="shared" ref="G50:N50" si="9">G51+G52+G56+G58+G67+G68+G73+G75+G79+G82+G84+G85+G88</f>
        <v>391635330</v>
      </c>
      <c r="H50" s="25">
        <f t="shared" si="9"/>
        <v>45051546</v>
      </c>
      <c r="I50" s="25">
        <f t="shared" si="9"/>
        <v>0</v>
      </c>
      <c r="J50" s="25">
        <f>J51+J52+J56+J58+J67+J68+J73+J75+J79+J82+J84+J85+J88+J72</f>
        <v>39078170</v>
      </c>
      <c r="K50" s="25">
        <f>K51+K52+K56+K58+K67+K68+K73+K75+K79+K82+K84+K85+K88+K72</f>
        <v>17314940</v>
      </c>
      <c r="L50" s="25">
        <f t="shared" si="9"/>
        <v>21671830</v>
      </c>
      <c r="M50" s="25">
        <f t="shared" si="9"/>
        <v>1262830</v>
      </c>
      <c r="N50" s="25">
        <f t="shared" si="9"/>
        <v>73850</v>
      </c>
      <c r="O50" s="25">
        <f>O51+O52+O56+O58+O67+O68+O73+O75+O79+O82+O84+O85+O88+O72</f>
        <v>17406340</v>
      </c>
      <c r="P50" s="25">
        <f>P51+P52+P56+P58+P67+P68+P73+P75+P79+P82+P84+P85+P88+P72</f>
        <v>590138973</v>
      </c>
    </row>
    <row r="51" spans="1:16" ht="25.5" x14ac:dyDescent="0.2">
      <c r="A51" s="41" t="s">
        <v>191</v>
      </c>
      <c r="B51" s="4" t="s">
        <v>190</v>
      </c>
      <c r="C51" s="4" t="s">
        <v>116</v>
      </c>
      <c r="D51" s="14" t="s">
        <v>615</v>
      </c>
      <c r="E51" s="11">
        <f>F51+I51</f>
        <v>2354100</v>
      </c>
      <c r="F51" s="12">
        <v>2354100</v>
      </c>
      <c r="G51" s="12">
        <v>1885200</v>
      </c>
      <c r="H51" s="12"/>
      <c r="I51" s="12"/>
      <c r="J51" s="11">
        <f t="shared" ref="J51:J87" si="10">L51+O51</f>
        <v>17400</v>
      </c>
      <c r="K51" s="12">
        <v>17400</v>
      </c>
      <c r="L51" s="12"/>
      <c r="M51" s="12"/>
      <c r="N51" s="12"/>
      <c r="O51" s="12">
        <f>K51</f>
        <v>17400</v>
      </c>
      <c r="P51" s="13">
        <f t="shared" ref="P51:P115" si="11">E51+J51</f>
        <v>2371500</v>
      </c>
    </row>
    <row r="52" spans="1:16" x14ac:dyDescent="0.2">
      <c r="A52" s="41" t="s">
        <v>193</v>
      </c>
      <c r="B52" s="20" t="s">
        <v>58</v>
      </c>
      <c r="C52" s="20" t="s">
        <v>132</v>
      </c>
      <c r="D52" s="5" t="s">
        <v>192</v>
      </c>
      <c r="E52" s="11">
        <f>F52</f>
        <v>184073400</v>
      </c>
      <c r="F52" s="12">
        <f>180727700+3930418+194200-500000+139400-200-418118</f>
        <v>184073400</v>
      </c>
      <c r="G52" s="12">
        <v>122869300</v>
      </c>
      <c r="H52" s="12">
        <f>18178000+139400</f>
        <v>18317400</v>
      </c>
      <c r="I52" s="12"/>
      <c r="J52" s="11">
        <f t="shared" si="10"/>
        <v>21338300</v>
      </c>
      <c r="K52" s="12">
        <v>3383000</v>
      </c>
      <c r="L52" s="12">
        <v>17955300</v>
      </c>
      <c r="M52" s="12">
        <v>31000</v>
      </c>
      <c r="N52" s="12">
        <v>1400</v>
      </c>
      <c r="O52" s="12">
        <f>K52</f>
        <v>3383000</v>
      </c>
      <c r="P52" s="13">
        <f t="shared" si="11"/>
        <v>205411700</v>
      </c>
    </row>
    <row r="53" spans="1:16" ht="38.25" hidden="1" x14ac:dyDescent="0.2">
      <c r="A53" s="41"/>
      <c r="B53" s="20"/>
      <c r="C53" s="20"/>
      <c r="D53" s="35" t="s">
        <v>500</v>
      </c>
      <c r="E53" s="10">
        <f>F53+I53</f>
        <v>0</v>
      </c>
      <c r="F53" s="17"/>
      <c r="G53" s="17"/>
      <c r="H53" s="17"/>
      <c r="I53" s="12"/>
      <c r="J53" s="11">
        <f t="shared" si="10"/>
        <v>0</v>
      </c>
      <c r="K53" s="12"/>
      <c r="L53" s="12"/>
      <c r="M53" s="12"/>
      <c r="N53" s="12"/>
      <c r="O53" s="12">
        <f>K53</f>
        <v>0</v>
      </c>
      <c r="P53" s="13">
        <f t="shared" si="11"/>
        <v>0</v>
      </c>
    </row>
    <row r="54" spans="1:16" ht="38.25" hidden="1" x14ac:dyDescent="0.2">
      <c r="A54" s="41"/>
      <c r="B54" s="20"/>
      <c r="C54" s="20"/>
      <c r="D54" s="24" t="s">
        <v>593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6" s="1" customFormat="1" hidden="1" x14ac:dyDescent="0.2">
      <c r="A55" s="36"/>
      <c r="B55" s="22"/>
      <c r="C55" s="22"/>
      <c r="D55" s="24" t="s">
        <v>483</v>
      </c>
      <c r="E55" s="11">
        <f>F55+I55</f>
        <v>0</v>
      </c>
      <c r="F55" s="17"/>
      <c r="G55" s="17"/>
      <c r="H55" s="17"/>
      <c r="I55" s="17"/>
      <c r="J55" s="11">
        <f t="shared" si="10"/>
        <v>0</v>
      </c>
      <c r="K55" s="17"/>
      <c r="L55" s="17"/>
      <c r="M55" s="17"/>
      <c r="N55" s="17"/>
      <c r="O55" s="12">
        <f>K55</f>
        <v>0</v>
      </c>
      <c r="P55" s="13">
        <f t="shared" si="11"/>
        <v>0</v>
      </c>
    </row>
    <row r="56" spans="1:16" x14ac:dyDescent="0.2">
      <c r="A56" s="41" t="s">
        <v>631</v>
      </c>
      <c r="B56" s="99" t="s">
        <v>621</v>
      </c>
      <c r="C56" s="20" t="s">
        <v>133</v>
      </c>
      <c r="D56" s="21" t="s">
        <v>633</v>
      </c>
      <c r="E56" s="11">
        <f>F56</f>
        <v>74546236</v>
      </c>
      <c r="F56" s="12">
        <f>74001236+545000</f>
        <v>74546236</v>
      </c>
      <c r="G56" s="12">
        <f>32986100+446700</f>
        <v>33432800</v>
      </c>
      <c r="H56" s="12">
        <v>24902546</v>
      </c>
      <c r="I56" s="12"/>
      <c r="J56" s="102">
        <f>L56+O56</f>
        <v>6457012</v>
      </c>
      <c r="K56" s="11">
        <v>3839332</v>
      </c>
      <c r="L56" s="11">
        <v>2578880</v>
      </c>
      <c r="M56" s="11">
        <v>1009130</v>
      </c>
      <c r="N56" s="11">
        <v>54500</v>
      </c>
      <c r="O56" s="11">
        <f>K56+38800</f>
        <v>3878132</v>
      </c>
      <c r="P56" s="13">
        <f t="shared" si="11"/>
        <v>81003248</v>
      </c>
    </row>
    <row r="57" spans="1:16" ht="38.25" x14ac:dyDescent="0.2">
      <c r="A57" s="41"/>
      <c r="B57" s="99"/>
      <c r="C57" s="20"/>
      <c r="D57" s="35" t="s">
        <v>645</v>
      </c>
      <c r="E57" s="10">
        <f>F57</f>
        <v>5453446</v>
      </c>
      <c r="F57" s="17">
        <v>5453446</v>
      </c>
      <c r="G57" s="12"/>
      <c r="H57" s="12">
        <v>5453446</v>
      </c>
      <c r="I57" s="12"/>
      <c r="J57" s="10">
        <f t="shared" si="10"/>
        <v>0</v>
      </c>
      <c r="K57" s="17"/>
      <c r="L57" s="17"/>
      <c r="M57" s="17"/>
      <c r="N57" s="17"/>
      <c r="O57" s="17">
        <f t="shared" ref="O57:O88" si="12">K57</f>
        <v>0</v>
      </c>
      <c r="P57" s="13">
        <f t="shared" si="11"/>
        <v>5453446</v>
      </c>
    </row>
    <row r="58" spans="1:16" x14ac:dyDescent="0.2">
      <c r="A58" s="41" t="s">
        <v>632</v>
      </c>
      <c r="B58" s="99" t="s">
        <v>622</v>
      </c>
      <c r="C58" s="20" t="s">
        <v>133</v>
      </c>
      <c r="D58" s="21" t="s">
        <v>633</v>
      </c>
      <c r="E58" s="11">
        <f t="shared" ref="E58:E89" si="13">F58</f>
        <v>244493600</v>
      </c>
      <c r="F58" s="17">
        <f>248302700-4354100+545000</f>
        <v>244493600</v>
      </c>
      <c r="G58" s="17">
        <f>203526800-3568900+446700</f>
        <v>200404600</v>
      </c>
      <c r="H58" s="12"/>
      <c r="I58" s="12"/>
      <c r="J58" s="11">
        <f t="shared" si="10"/>
        <v>0</v>
      </c>
      <c r="K58" s="12"/>
      <c r="L58" s="12"/>
      <c r="M58" s="12"/>
      <c r="N58" s="12"/>
      <c r="O58" s="12">
        <f t="shared" si="12"/>
        <v>0</v>
      </c>
      <c r="P58" s="13">
        <f t="shared" si="11"/>
        <v>244493600</v>
      </c>
    </row>
    <row r="59" spans="1:16" ht="25.5" hidden="1" customHeight="1" x14ac:dyDescent="0.2">
      <c r="A59" s="41"/>
      <c r="B59" s="97"/>
      <c r="C59" s="20"/>
      <c r="D59" s="35" t="s">
        <v>158</v>
      </c>
      <c r="E59" s="10">
        <f t="shared" si="13"/>
        <v>0</v>
      </c>
      <c r="F59" s="12"/>
      <c r="G59" s="12"/>
      <c r="H59" s="12"/>
      <c r="I59" s="12"/>
      <c r="J59" s="11">
        <f t="shared" si="10"/>
        <v>0</v>
      </c>
      <c r="K59" s="12"/>
      <c r="L59" s="12"/>
      <c r="M59" s="12"/>
      <c r="N59" s="12"/>
      <c r="O59" s="12">
        <f>K59</f>
        <v>0</v>
      </c>
      <c r="P59" s="13">
        <f t="shared" si="11"/>
        <v>0</v>
      </c>
    </row>
    <row r="60" spans="1:16" hidden="1" x14ac:dyDescent="0.2">
      <c r="A60" s="41">
        <v>1011030</v>
      </c>
      <c r="B60" s="97" t="s">
        <v>118</v>
      </c>
      <c r="C60" s="20" t="s">
        <v>133</v>
      </c>
      <c r="D60" s="5" t="s">
        <v>83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6" s="1" customFormat="1" ht="38.25" hidden="1" customHeight="1" x14ac:dyDescent="0.2">
      <c r="A61" s="36"/>
      <c r="B61" s="98"/>
      <c r="C61" s="22"/>
      <c r="D61" s="24" t="s">
        <v>570</v>
      </c>
      <c r="E61" s="10">
        <f t="shared" si="13"/>
        <v>0</v>
      </c>
      <c r="F61" s="17"/>
      <c r="G61" s="17"/>
      <c r="H61" s="17"/>
      <c r="I61" s="17"/>
      <c r="J61" s="11">
        <f t="shared" si="10"/>
        <v>0</v>
      </c>
      <c r="K61" s="17"/>
      <c r="L61" s="17"/>
      <c r="M61" s="17"/>
      <c r="N61" s="17"/>
      <c r="O61" s="12">
        <f>K61</f>
        <v>0</v>
      </c>
      <c r="P61" s="13">
        <f t="shared" si="11"/>
        <v>0</v>
      </c>
    </row>
    <row r="62" spans="1:16" ht="38.25" hidden="1" x14ac:dyDescent="0.2">
      <c r="A62" s="41"/>
      <c r="B62" s="97"/>
      <c r="C62" s="20"/>
      <c r="D62" s="24" t="s">
        <v>565</v>
      </c>
      <c r="E62" s="10">
        <f t="shared" si="13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6" ht="25.5" hidden="1" x14ac:dyDescent="0.2">
      <c r="A63" s="41"/>
      <c r="B63" s="97"/>
      <c r="C63" s="20"/>
      <c r="D63" s="24" t="s">
        <v>466</v>
      </c>
      <c r="E63" s="10">
        <f t="shared" si="13"/>
        <v>0</v>
      </c>
      <c r="F63" s="17"/>
      <c r="G63" s="17"/>
      <c r="H63" s="17"/>
      <c r="I63" s="17"/>
      <c r="J63" s="10">
        <f t="shared" si="10"/>
        <v>0</v>
      </c>
      <c r="K63" s="17"/>
      <c r="L63" s="17"/>
      <c r="M63" s="17"/>
      <c r="N63" s="17"/>
      <c r="O63" s="17">
        <f t="shared" si="12"/>
        <v>0</v>
      </c>
      <c r="P63" s="13">
        <f t="shared" si="11"/>
        <v>0</v>
      </c>
    </row>
    <row r="64" spans="1:16" ht="25.5" hidden="1" x14ac:dyDescent="0.2">
      <c r="A64" s="41"/>
      <c r="B64" s="97"/>
      <c r="C64" s="20"/>
      <c r="D64" s="24" t="s">
        <v>479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s="1" customFormat="1" x14ac:dyDescent="0.2">
      <c r="A65" s="36"/>
      <c r="B65" s="98"/>
      <c r="C65" s="22"/>
      <c r="D65" s="35" t="s">
        <v>82</v>
      </c>
      <c r="E65" s="10">
        <f t="shared" si="13"/>
        <v>244493600</v>
      </c>
      <c r="F65" s="17">
        <f>F58</f>
        <v>244493600</v>
      </c>
      <c r="G65" s="17">
        <f>G58</f>
        <v>200404600</v>
      </c>
      <c r="H65" s="17"/>
      <c r="I65" s="17"/>
      <c r="J65" s="10"/>
      <c r="K65" s="17"/>
      <c r="L65" s="17"/>
      <c r="M65" s="17"/>
      <c r="N65" s="17"/>
      <c r="O65" s="17"/>
      <c r="P65" s="16">
        <f t="shared" si="11"/>
        <v>244493600</v>
      </c>
    </row>
    <row r="66" spans="1:16" hidden="1" x14ac:dyDescent="0.2">
      <c r="A66" s="2"/>
      <c r="B66" s="2"/>
      <c r="C66" s="2"/>
      <c r="E66" s="10">
        <f t="shared" si="13"/>
        <v>2171700</v>
      </c>
      <c r="F66" s="12">
        <f>219700+1952000</f>
        <v>2171700</v>
      </c>
      <c r="G66" s="12">
        <v>1600000</v>
      </c>
      <c r="H66" s="12"/>
      <c r="I66" s="12"/>
      <c r="J66" s="11">
        <f t="shared" si="10"/>
        <v>0</v>
      </c>
      <c r="K66" s="12"/>
      <c r="L66" s="12"/>
      <c r="M66" s="12"/>
      <c r="N66" s="12"/>
      <c r="O66" s="12">
        <f t="shared" si="12"/>
        <v>0</v>
      </c>
      <c r="P66" s="13">
        <f t="shared" si="11"/>
        <v>2171700</v>
      </c>
    </row>
    <row r="67" spans="1:16" ht="25.5" x14ac:dyDescent="0.2">
      <c r="A67" s="41" t="s">
        <v>634</v>
      </c>
      <c r="B67" s="99" t="s">
        <v>623</v>
      </c>
      <c r="C67" s="20" t="s">
        <v>104</v>
      </c>
      <c r="D67" s="23" t="s">
        <v>582</v>
      </c>
      <c r="E67" s="11">
        <f t="shared" si="13"/>
        <v>219700</v>
      </c>
      <c r="F67" s="12">
        <v>219700</v>
      </c>
      <c r="G67" s="12">
        <f>G66-G68</f>
        <v>0</v>
      </c>
      <c r="H67" s="12"/>
      <c r="I67" s="12"/>
      <c r="J67" s="11"/>
      <c r="K67" s="12"/>
      <c r="L67" s="12"/>
      <c r="M67" s="12"/>
      <c r="N67" s="12"/>
      <c r="O67" s="12"/>
      <c r="P67" s="13">
        <f t="shared" si="11"/>
        <v>219700</v>
      </c>
    </row>
    <row r="68" spans="1:16" ht="25.5" x14ac:dyDescent="0.2">
      <c r="A68" s="41" t="s">
        <v>635</v>
      </c>
      <c r="B68" s="99" t="s">
        <v>624</v>
      </c>
      <c r="C68" s="20" t="s">
        <v>104</v>
      </c>
      <c r="D68" s="23" t="s">
        <v>582</v>
      </c>
      <c r="E68" s="11">
        <f t="shared" si="13"/>
        <v>1952000</v>
      </c>
      <c r="F68" s="12">
        <v>1952000</v>
      </c>
      <c r="G68" s="12">
        <v>1600000</v>
      </c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2"/>
        <v>0</v>
      </c>
      <c r="P68" s="13">
        <f t="shared" si="11"/>
        <v>1952000</v>
      </c>
    </row>
    <row r="69" spans="1:16" ht="25.5" hidden="1" x14ac:dyDescent="0.2">
      <c r="A69" s="41"/>
      <c r="B69" s="97"/>
      <c r="C69" s="20"/>
      <c r="D69" s="24" t="s">
        <v>466</v>
      </c>
      <c r="E69" s="10">
        <f t="shared" si="13"/>
        <v>0</v>
      </c>
      <c r="F69" s="12"/>
      <c r="G69" s="12"/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0</v>
      </c>
    </row>
    <row r="70" spans="1:16" s="1" customFormat="1" ht="38.25" hidden="1" x14ac:dyDescent="0.2">
      <c r="A70" s="36"/>
      <c r="B70" s="98"/>
      <c r="C70" s="22"/>
      <c r="D70" s="35" t="s">
        <v>500</v>
      </c>
      <c r="E70" s="10">
        <f t="shared" si="13"/>
        <v>0</v>
      </c>
      <c r="F70" s="17"/>
      <c r="G70" s="17"/>
      <c r="H70" s="17"/>
      <c r="I70" s="17"/>
      <c r="J70" s="11">
        <f t="shared" si="10"/>
        <v>0</v>
      </c>
      <c r="K70" s="17"/>
      <c r="L70" s="17"/>
      <c r="M70" s="17"/>
      <c r="N70" s="17"/>
      <c r="O70" s="12">
        <f t="shared" si="12"/>
        <v>0</v>
      </c>
      <c r="P70" s="13">
        <f t="shared" si="11"/>
        <v>0</v>
      </c>
    </row>
    <row r="71" spans="1:16" s="1" customFormat="1" x14ac:dyDescent="0.2">
      <c r="A71" s="36"/>
      <c r="B71" s="98"/>
      <c r="C71" s="22"/>
      <c r="D71" s="24" t="s">
        <v>82</v>
      </c>
      <c r="E71" s="10">
        <f t="shared" si="13"/>
        <v>1952000</v>
      </c>
      <c r="F71" s="10">
        <f>F68</f>
        <v>1952000</v>
      </c>
      <c r="G71" s="10">
        <f>G68</f>
        <v>1600000</v>
      </c>
      <c r="H71" s="17"/>
      <c r="I71" s="17"/>
      <c r="J71" s="11">
        <f t="shared" si="10"/>
        <v>0</v>
      </c>
      <c r="K71" s="17"/>
      <c r="L71" s="17"/>
      <c r="M71" s="17"/>
      <c r="N71" s="17"/>
      <c r="O71" s="12"/>
      <c r="P71" s="16">
        <f t="shared" si="11"/>
        <v>1952000</v>
      </c>
    </row>
    <row r="72" spans="1:16" s="1" customFormat="1" ht="15.75" x14ac:dyDescent="0.25">
      <c r="A72" s="36" t="s">
        <v>661</v>
      </c>
      <c r="B72" s="22" t="s">
        <v>662</v>
      </c>
      <c r="C72" s="22" t="s">
        <v>133</v>
      </c>
      <c r="D72" s="104" t="s">
        <v>630</v>
      </c>
      <c r="E72" s="11">
        <f t="shared" si="13"/>
        <v>1220000</v>
      </c>
      <c r="F72" s="11">
        <v>1220000</v>
      </c>
      <c r="G72" s="10"/>
      <c r="H72" s="17"/>
      <c r="I72" s="17"/>
      <c r="J72" s="11">
        <f t="shared" si="10"/>
        <v>8780000</v>
      </c>
      <c r="K72" s="17">
        <v>8780000</v>
      </c>
      <c r="L72" s="17"/>
      <c r="M72" s="17"/>
      <c r="N72" s="17"/>
      <c r="O72" s="12">
        <f t="shared" si="12"/>
        <v>8780000</v>
      </c>
      <c r="P72" s="16">
        <f t="shared" si="11"/>
        <v>10000000</v>
      </c>
    </row>
    <row r="73" spans="1:16" ht="25.5" x14ac:dyDescent="0.2">
      <c r="A73" s="41" t="s">
        <v>636</v>
      </c>
      <c r="B73" s="99" t="s">
        <v>23</v>
      </c>
      <c r="C73" s="20" t="s">
        <v>134</v>
      </c>
      <c r="D73" s="21" t="s">
        <v>583</v>
      </c>
      <c r="E73" s="11">
        <f t="shared" si="13"/>
        <v>22663900</v>
      </c>
      <c r="F73" s="12">
        <f>22638000+25900</f>
        <v>22663900</v>
      </c>
      <c r="G73" s="12">
        <v>17026170</v>
      </c>
      <c r="H73" s="12">
        <f>1191100+25900</f>
        <v>1217000</v>
      </c>
      <c r="I73" s="12"/>
      <c r="J73" s="11">
        <f>L73+O73</f>
        <v>1490250</v>
      </c>
      <c r="K73" s="12">
        <v>300000</v>
      </c>
      <c r="L73" s="12">
        <f>1190250-52600</f>
        <v>1137650</v>
      </c>
      <c r="M73" s="12">
        <v>222700</v>
      </c>
      <c r="N73" s="12">
        <v>17950</v>
      </c>
      <c r="O73" s="17">
        <f>K73+52600</f>
        <v>352600</v>
      </c>
      <c r="P73" s="13">
        <f>E73+J73</f>
        <v>24154150</v>
      </c>
    </row>
    <row r="74" spans="1:16" s="1" customFormat="1" hidden="1" x14ac:dyDescent="0.2">
      <c r="A74" s="36"/>
      <c r="B74" s="98"/>
      <c r="C74" s="22"/>
      <c r="D74" s="19" t="s">
        <v>483</v>
      </c>
      <c r="E74" s="10">
        <f t="shared" si="13"/>
        <v>0</v>
      </c>
      <c r="F74" s="17"/>
      <c r="G74" s="17"/>
      <c r="H74" s="17"/>
      <c r="I74" s="17"/>
      <c r="J74" s="11">
        <f>L74+O74</f>
        <v>0</v>
      </c>
      <c r="K74" s="17"/>
      <c r="L74" s="17"/>
      <c r="M74" s="17"/>
      <c r="N74" s="17"/>
      <c r="O74" s="17">
        <f t="shared" si="12"/>
        <v>0</v>
      </c>
      <c r="P74" s="16">
        <f>E74+J74</f>
        <v>0</v>
      </c>
    </row>
    <row r="75" spans="1:16" ht="15.75" customHeight="1" x14ac:dyDescent="0.2">
      <c r="A75" s="41" t="s">
        <v>196</v>
      </c>
      <c r="B75" s="99" t="s">
        <v>195</v>
      </c>
      <c r="C75" s="20" t="s">
        <v>135</v>
      </c>
      <c r="D75" s="5" t="s">
        <v>637</v>
      </c>
      <c r="E75" s="11">
        <f t="shared" si="13"/>
        <v>2153800</v>
      </c>
      <c r="F75" s="12">
        <v>2153800</v>
      </c>
      <c r="G75" s="12">
        <v>1749000</v>
      </c>
      <c r="H75" s="12"/>
      <c r="I75" s="12"/>
      <c r="J75" s="11">
        <f t="shared" si="10"/>
        <v>34400</v>
      </c>
      <c r="K75" s="12">
        <v>34400</v>
      </c>
      <c r="L75" s="12"/>
      <c r="M75" s="12"/>
      <c r="N75" s="12"/>
      <c r="O75" s="12">
        <f t="shared" si="12"/>
        <v>34400</v>
      </c>
      <c r="P75" s="13">
        <f t="shared" si="11"/>
        <v>2188200</v>
      </c>
    </row>
    <row r="76" spans="1:16" hidden="1" x14ac:dyDescent="0.2">
      <c r="A76" s="41">
        <v>1011190</v>
      </c>
      <c r="B76" s="97" t="s">
        <v>28</v>
      </c>
      <c r="C76" s="20" t="s">
        <v>135</v>
      </c>
      <c r="D76" s="21" t="s">
        <v>84</v>
      </c>
      <c r="E76" s="11">
        <f t="shared" si="13"/>
        <v>0</v>
      </c>
      <c r="F76" s="12"/>
      <c r="G76" s="12"/>
      <c r="H76" s="12"/>
      <c r="I76" s="12"/>
      <c r="J76" s="11">
        <f t="shared" si="10"/>
        <v>0</v>
      </c>
      <c r="K76" s="12"/>
      <c r="L76" s="12"/>
      <c r="M76" s="12"/>
      <c r="N76" s="12"/>
      <c r="O76" s="12">
        <f t="shared" si="12"/>
        <v>0</v>
      </c>
      <c r="P76" s="13">
        <f t="shared" si="11"/>
        <v>0</v>
      </c>
    </row>
    <row r="77" spans="1:16" hidden="1" x14ac:dyDescent="0.2">
      <c r="A77" s="41">
        <v>1011200</v>
      </c>
      <c r="B77" s="97" t="s">
        <v>29</v>
      </c>
      <c r="C77" s="20" t="s">
        <v>135</v>
      </c>
      <c r="D77" s="21" t="s">
        <v>85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 t="s">
        <v>196</v>
      </c>
      <c r="B78" s="97" t="s">
        <v>195</v>
      </c>
      <c r="C78" s="20"/>
      <c r="D78" s="42" t="s">
        <v>194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x14ac:dyDescent="0.2">
      <c r="A79" s="41" t="s">
        <v>638</v>
      </c>
      <c r="B79" s="99" t="s">
        <v>625</v>
      </c>
      <c r="C79" s="20" t="s">
        <v>135</v>
      </c>
      <c r="D79" s="42" t="s">
        <v>393</v>
      </c>
      <c r="E79" s="11">
        <f t="shared" si="13"/>
        <v>11399000</v>
      </c>
      <c r="F79" s="12">
        <f>11353900+45100</f>
        <v>11399000</v>
      </c>
      <c r="G79" s="12">
        <v>8360960</v>
      </c>
      <c r="H79" s="12">
        <f>569500+45100</f>
        <v>614600</v>
      </c>
      <c r="I79" s="12"/>
      <c r="J79" s="11">
        <f t="shared" si="10"/>
        <v>125200</v>
      </c>
      <c r="K79" s="12">
        <v>125200</v>
      </c>
      <c r="L79" s="12"/>
      <c r="M79" s="12"/>
      <c r="N79" s="12"/>
      <c r="O79" s="12">
        <f t="shared" si="12"/>
        <v>125200</v>
      </c>
      <c r="P79" s="13">
        <f t="shared" si="11"/>
        <v>11524200</v>
      </c>
    </row>
    <row r="80" spans="1:16" hidden="1" x14ac:dyDescent="0.2">
      <c r="A80" s="41"/>
      <c r="B80" s="97"/>
      <c r="C80" s="20"/>
      <c r="D80" s="42" t="s">
        <v>549</v>
      </c>
      <c r="E80" s="11">
        <f t="shared" si="13"/>
        <v>0</v>
      </c>
      <c r="F80" s="12"/>
      <c r="G80" s="12"/>
      <c r="H80" s="12"/>
      <c r="I80" s="12"/>
      <c r="J80" s="11"/>
      <c r="K80" s="12"/>
      <c r="L80" s="12"/>
      <c r="M80" s="12"/>
      <c r="N80" s="12"/>
      <c r="O80" s="12"/>
      <c r="P80" s="13"/>
    </row>
    <row r="81" spans="1:18" ht="38.25" hidden="1" x14ac:dyDescent="0.2">
      <c r="A81" s="41"/>
      <c r="B81" s="97"/>
      <c r="C81" s="20"/>
      <c r="D81" s="42" t="s">
        <v>500</v>
      </c>
      <c r="E81" s="11">
        <f t="shared" si="13"/>
        <v>0</v>
      </c>
      <c r="F81" s="12"/>
      <c r="G81" s="12"/>
      <c r="H81" s="12"/>
      <c r="I81" s="12"/>
      <c r="J81" s="11">
        <f t="shared" si="10"/>
        <v>0</v>
      </c>
      <c r="K81" s="12"/>
      <c r="L81" s="12"/>
      <c r="M81" s="12"/>
      <c r="N81" s="12"/>
      <c r="O81" s="12">
        <f t="shared" si="12"/>
        <v>0</v>
      </c>
      <c r="P81" s="13">
        <f t="shared" si="11"/>
        <v>0</v>
      </c>
    </row>
    <row r="82" spans="1:18" x14ac:dyDescent="0.2">
      <c r="A82" s="41" t="s">
        <v>639</v>
      </c>
      <c r="B82" s="99" t="s">
        <v>626</v>
      </c>
      <c r="C82" s="20" t="s">
        <v>135</v>
      </c>
      <c r="D82" s="42" t="s">
        <v>394</v>
      </c>
      <c r="E82" s="11">
        <f t="shared" si="13"/>
        <v>278000</v>
      </c>
      <c r="F82" s="12">
        <v>278000</v>
      </c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278000</v>
      </c>
    </row>
    <row r="83" spans="1:18" x14ac:dyDescent="0.2">
      <c r="E83" s="11">
        <f t="shared" si="13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0</v>
      </c>
    </row>
    <row r="84" spans="1:18" ht="25.5" x14ac:dyDescent="0.2">
      <c r="A84" s="41" t="s">
        <v>641</v>
      </c>
      <c r="B84" s="99" t="s">
        <v>627</v>
      </c>
      <c r="C84" s="20" t="s">
        <v>135</v>
      </c>
      <c r="D84" s="14" t="s">
        <v>640</v>
      </c>
      <c r="E84" s="11">
        <f t="shared" si="13"/>
        <v>285700</v>
      </c>
      <c r="F84" s="11">
        <f>830700-545000</f>
        <v>285700</v>
      </c>
      <c r="G84" s="11">
        <f>638100-446700</f>
        <v>191400</v>
      </c>
      <c r="H84" s="12"/>
      <c r="I84" s="12"/>
      <c r="J84" s="11"/>
      <c r="K84" s="12"/>
      <c r="L84" s="12"/>
      <c r="M84" s="12"/>
      <c r="N84" s="12"/>
      <c r="O84" s="12"/>
      <c r="P84" s="13">
        <f t="shared" si="11"/>
        <v>285700</v>
      </c>
    </row>
    <row r="85" spans="1:18" s="1" customFormat="1" ht="24.75" customHeight="1" x14ac:dyDescent="0.2">
      <c r="A85" s="36" t="s">
        <v>642</v>
      </c>
      <c r="B85" s="101" t="s">
        <v>628</v>
      </c>
      <c r="C85" s="22" t="s">
        <v>135</v>
      </c>
      <c r="D85" s="14" t="s">
        <v>643</v>
      </c>
      <c r="E85" s="11">
        <f t="shared" si="13"/>
        <v>3774641</v>
      </c>
      <c r="F85" s="17">
        <v>3774641</v>
      </c>
      <c r="G85" s="17">
        <v>3094000</v>
      </c>
      <c r="H85" s="17"/>
      <c r="I85" s="17"/>
      <c r="J85" s="11">
        <f t="shared" si="10"/>
        <v>0</v>
      </c>
      <c r="K85" s="17"/>
      <c r="L85" s="17"/>
      <c r="M85" s="17"/>
      <c r="N85" s="17"/>
      <c r="O85" s="12">
        <f t="shared" si="12"/>
        <v>0</v>
      </c>
      <c r="P85" s="13">
        <f t="shared" si="11"/>
        <v>3774641</v>
      </c>
    </row>
    <row r="86" spans="1:18" s="1" customFormat="1" ht="25.5" hidden="1" x14ac:dyDescent="0.2">
      <c r="A86" s="36"/>
      <c r="B86" s="22"/>
      <c r="C86" s="22"/>
      <c r="D86" s="24" t="s">
        <v>564</v>
      </c>
      <c r="E86" s="11">
        <f t="shared" si="13"/>
        <v>0</v>
      </c>
      <c r="F86" s="17"/>
      <c r="G86" s="17"/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0</v>
      </c>
    </row>
    <row r="87" spans="1:18" s="1" customFormat="1" hidden="1" x14ac:dyDescent="0.2">
      <c r="A87" s="36"/>
      <c r="B87" s="22"/>
      <c r="C87" s="22"/>
      <c r="D87" s="43" t="s">
        <v>483</v>
      </c>
      <c r="E87" s="11">
        <f t="shared" si="13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0</v>
      </c>
    </row>
    <row r="88" spans="1:18" ht="25.5" x14ac:dyDescent="0.2">
      <c r="A88" s="41" t="s">
        <v>646</v>
      </c>
      <c r="B88" s="20" t="s">
        <v>29</v>
      </c>
      <c r="C88" s="4" t="s">
        <v>135</v>
      </c>
      <c r="D88" s="82" t="s">
        <v>647</v>
      </c>
      <c r="E88" s="11">
        <f t="shared" si="13"/>
        <v>1646726</v>
      </c>
      <c r="F88" s="12">
        <v>1646726</v>
      </c>
      <c r="G88" s="12">
        <v>1021900</v>
      </c>
      <c r="H88" s="12"/>
      <c r="I88" s="12"/>
      <c r="J88" s="11">
        <f>K88</f>
        <v>835608</v>
      </c>
      <c r="K88" s="12">
        <v>835608</v>
      </c>
      <c r="L88" s="12"/>
      <c r="M88" s="12"/>
      <c r="N88" s="12"/>
      <c r="O88" s="12">
        <f t="shared" si="12"/>
        <v>835608</v>
      </c>
      <c r="P88" s="13">
        <f>E88+J88</f>
        <v>2482334</v>
      </c>
    </row>
    <row r="89" spans="1:18" s="1" customFormat="1" ht="38.25" x14ac:dyDescent="0.2">
      <c r="A89" s="36"/>
      <c r="B89" s="22"/>
      <c r="C89" s="3"/>
      <c r="D89" s="35" t="s">
        <v>500</v>
      </c>
      <c r="E89" s="10">
        <f t="shared" si="13"/>
        <v>1646726</v>
      </c>
      <c r="F89" s="10">
        <f>F88</f>
        <v>1646726</v>
      </c>
      <c r="G89" s="10">
        <f>G88</f>
        <v>1021900</v>
      </c>
      <c r="H89" s="17"/>
      <c r="I89" s="17"/>
      <c r="J89" s="11">
        <f>K89</f>
        <v>835608</v>
      </c>
      <c r="K89" s="17">
        <f>K88</f>
        <v>835608</v>
      </c>
      <c r="L89" s="17"/>
      <c r="M89" s="17"/>
      <c r="N89" s="17"/>
      <c r="O89" s="12">
        <f>K89</f>
        <v>835608</v>
      </c>
      <c r="P89" s="13">
        <f>E89+J89</f>
        <v>2482334</v>
      </c>
    </row>
    <row r="90" spans="1:18" x14ac:dyDescent="0.2">
      <c r="A90" s="62" t="s">
        <v>169</v>
      </c>
      <c r="B90" s="6"/>
      <c r="C90" s="7"/>
      <c r="D90" s="31" t="s">
        <v>89</v>
      </c>
      <c r="E90" s="25">
        <f>E99</f>
        <v>46434480</v>
      </c>
      <c r="F90" s="25">
        <f t="shared" ref="F90:O90" si="14">F99</f>
        <v>46434480</v>
      </c>
      <c r="G90" s="25">
        <f t="shared" si="14"/>
        <v>2019700</v>
      </c>
      <c r="H90" s="25">
        <f t="shared" si="14"/>
        <v>34000</v>
      </c>
      <c r="I90" s="25">
        <f t="shared" si="14"/>
        <v>0</v>
      </c>
      <c r="J90" s="25">
        <f t="shared" si="14"/>
        <v>2270657</v>
      </c>
      <c r="K90" s="25">
        <f>K99</f>
        <v>2162000</v>
      </c>
      <c r="L90" s="25">
        <f t="shared" si="14"/>
        <v>108657</v>
      </c>
      <c r="M90" s="25">
        <f t="shared" si="14"/>
        <v>0</v>
      </c>
      <c r="N90" s="25">
        <f t="shared" si="14"/>
        <v>0</v>
      </c>
      <c r="O90" s="25">
        <f t="shared" si="14"/>
        <v>2162000</v>
      </c>
      <c r="P90" s="13">
        <f t="shared" si="11"/>
        <v>48705137</v>
      </c>
      <c r="Q90" s="39"/>
      <c r="R90" s="34"/>
    </row>
    <row r="91" spans="1:18" s="1" customFormat="1" hidden="1" x14ac:dyDescent="0.2">
      <c r="A91" s="36"/>
      <c r="B91" s="18"/>
      <c r="C91" s="3"/>
      <c r="D91" s="35" t="s">
        <v>91</v>
      </c>
      <c r="E91" s="10">
        <f>F91+I91</f>
        <v>0</v>
      </c>
      <c r="F91" s="17">
        <f>F102+F108+F121+F114</f>
        <v>0</v>
      </c>
      <c r="G91" s="17">
        <f>SUM(G102+G105+G108+G110+G124+G119+G137+G128+G132)</f>
        <v>0</v>
      </c>
      <c r="H91" s="17">
        <f>SUM(H102+H105+H108+H110+H124+H119+H137+H128+H132)</f>
        <v>0</v>
      </c>
      <c r="I91" s="17">
        <f>SUM(I102+I105+I108+I110+I124+I119+I137+I128+I132)</f>
        <v>0</v>
      </c>
      <c r="J91" s="17">
        <f>SUM(J102+J108+J110+J124+J119+J137)</f>
        <v>0</v>
      </c>
      <c r="K91" s="17">
        <f>SUM(K102+K108+K110+K124+K119+K137)</f>
        <v>0</v>
      </c>
      <c r="L91" s="17">
        <f>SUM(L102+L105+L108+L110+L124+L119+L137)</f>
        <v>0</v>
      </c>
      <c r="M91" s="17">
        <f>SUM(M102+M105+M108+M110+M124+M119+M137)</f>
        <v>0</v>
      </c>
      <c r="N91" s="17">
        <f>SUM(N102+N105+N108+N110+N124+N119+N137)</f>
        <v>0</v>
      </c>
      <c r="O91" s="17">
        <f>SUM(O102+O108+O110+O124+O119+O137)</f>
        <v>0</v>
      </c>
      <c r="P91" s="16">
        <f t="shared" si="11"/>
        <v>0</v>
      </c>
    </row>
    <row r="92" spans="1:18" s="1" customFormat="1" ht="25.5" hidden="1" x14ac:dyDescent="0.2">
      <c r="A92" s="36"/>
      <c r="B92" s="18"/>
      <c r="C92" s="3"/>
      <c r="D92" s="35" t="s">
        <v>467</v>
      </c>
      <c r="E92" s="10">
        <f>F92+I92</f>
        <v>0</v>
      </c>
      <c r="F92" s="17">
        <f>F115+F105</f>
        <v>0</v>
      </c>
      <c r="G92" s="17"/>
      <c r="H92" s="17"/>
      <c r="I92" s="17"/>
      <c r="J92" s="17">
        <f>L92+O92</f>
        <v>0</v>
      </c>
      <c r="K92" s="17">
        <f>K115+K105+K111+K122</f>
        <v>0</v>
      </c>
      <c r="L92" s="17"/>
      <c r="M92" s="17"/>
      <c r="N92" s="17"/>
      <c r="O92" s="17">
        <f>K92</f>
        <v>0</v>
      </c>
      <c r="P92" s="16">
        <f t="shared" si="11"/>
        <v>0</v>
      </c>
    </row>
    <row r="93" spans="1:18" s="1" customFormat="1" ht="25.5" hidden="1" x14ac:dyDescent="0.2">
      <c r="A93" s="36"/>
      <c r="B93" s="18"/>
      <c r="C93" s="3"/>
      <c r="D93" s="35" t="s">
        <v>480</v>
      </c>
      <c r="E93" s="10">
        <f>F93+I93</f>
        <v>0</v>
      </c>
      <c r="F93" s="17"/>
      <c r="G93" s="17"/>
      <c r="H93" s="17"/>
      <c r="I93" s="17"/>
      <c r="J93" s="17">
        <f>L93+O93</f>
        <v>0</v>
      </c>
      <c r="K93" s="17">
        <f>K142</f>
        <v>0</v>
      </c>
      <c r="L93" s="17"/>
      <c r="M93" s="17"/>
      <c r="N93" s="17"/>
      <c r="O93" s="17">
        <f>O142</f>
        <v>0</v>
      </c>
      <c r="P93" s="16">
        <f t="shared" si="11"/>
        <v>0</v>
      </c>
    </row>
    <row r="94" spans="1:18" s="1" customFormat="1" hidden="1" x14ac:dyDescent="0.2">
      <c r="A94" s="36"/>
      <c r="B94" s="18"/>
      <c r="C94" s="3"/>
      <c r="D94" s="35" t="s">
        <v>483</v>
      </c>
      <c r="E94" s="10">
        <f>E138+E104</f>
        <v>0</v>
      </c>
      <c r="F94" s="10">
        <f>F138+F104</f>
        <v>0</v>
      </c>
      <c r="G94" s="10">
        <f>G138</f>
        <v>0</v>
      </c>
      <c r="H94" s="10">
        <f>H138</f>
        <v>0</v>
      </c>
      <c r="I94" s="10">
        <f>I138</f>
        <v>0</v>
      </c>
      <c r="J94" s="10">
        <f>K94+L94</f>
        <v>0</v>
      </c>
      <c r="K94" s="17">
        <f>K104</f>
        <v>0</v>
      </c>
      <c r="L94" s="17"/>
      <c r="M94" s="17"/>
      <c r="N94" s="17"/>
      <c r="O94" s="17">
        <f>K94</f>
        <v>0</v>
      </c>
      <c r="P94" s="16">
        <f t="shared" si="11"/>
        <v>0</v>
      </c>
    </row>
    <row r="95" spans="1:18" s="1" customFormat="1" ht="32.25" hidden="1" customHeight="1" x14ac:dyDescent="0.2">
      <c r="A95" s="36"/>
      <c r="B95" s="18"/>
      <c r="C95" s="3"/>
      <c r="D95" s="19" t="s">
        <v>591</v>
      </c>
      <c r="E95" s="10">
        <f>F95</f>
        <v>0</v>
      </c>
      <c r="F95" s="10">
        <f>F128+F105</f>
        <v>0</v>
      </c>
      <c r="G95" s="10"/>
      <c r="H95" s="10"/>
      <c r="I95" s="10"/>
      <c r="J95" s="10"/>
      <c r="K95" s="17"/>
      <c r="L95" s="17"/>
      <c r="M95" s="17"/>
      <c r="N95" s="17"/>
      <c r="O95" s="17"/>
      <c r="P95" s="16">
        <f t="shared" si="11"/>
        <v>0</v>
      </c>
    </row>
    <row r="96" spans="1:18" s="1" customFormat="1" ht="29.25" hidden="1" customHeight="1" x14ac:dyDescent="0.2">
      <c r="A96" s="36"/>
      <c r="B96" s="18"/>
      <c r="C96" s="3"/>
      <c r="D96" s="19" t="s">
        <v>585</v>
      </c>
      <c r="E96" s="10">
        <f>E129</f>
        <v>0</v>
      </c>
      <c r="F96" s="10">
        <f>F129</f>
        <v>0</v>
      </c>
      <c r="G96" s="10"/>
      <c r="H96" s="10"/>
      <c r="I96" s="10"/>
      <c r="J96" s="10">
        <f>J106</f>
        <v>0</v>
      </c>
      <c r="K96" s="10">
        <f>K106</f>
        <v>0</v>
      </c>
      <c r="L96" s="17"/>
      <c r="M96" s="17"/>
      <c r="N96" s="17"/>
      <c r="O96" s="10">
        <f>O106</f>
        <v>0</v>
      </c>
      <c r="P96" s="16">
        <f t="shared" si="11"/>
        <v>0</v>
      </c>
    </row>
    <row r="97" spans="1:16" s="1" customFormat="1" ht="38.25" x14ac:dyDescent="0.2">
      <c r="A97" s="36"/>
      <c r="B97" s="18"/>
      <c r="C97" s="3"/>
      <c r="D97" s="19" t="s">
        <v>649</v>
      </c>
      <c r="E97" s="10">
        <f>F97</f>
        <v>4004962</v>
      </c>
      <c r="F97" s="10">
        <f>F106+F112+F116+F130</f>
        <v>4004962</v>
      </c>
      <c r="G97" s="10"/>
      <c r="H97" s="10"/>
      <c r="I97" s="10"/>
      <c r="J97" s="10">
        <f>J139</f>
        <v>0</v>
      </c>
      <c r="K97" s="17"/>
      <c r="L97" s="17"/>
      <c r="M97" s="17"/>
      <c r="N97" s="17"/>
      <c r="O97" s="17"/>
      <c r="P97" s="16">
        <f t="shared" si="11"/>
        <v>4004962</v>
      </c>
    </row>
    <row r="98" spans="1:16" s="1" customFormat="1" ht="25.5" hidden="1" x14ac:dyDescent="0.2">
      <c r="A98" s="36"/>
      <c r="B98" s="18"/>
      <c r="C98" s="3"/>
      <c r="D98" s="35" t="s">
        <v>510</v>
      </c>
      <c r="E98" s="10"/>
      <c r="F98" s="17"/>
      <c r="G98" s="17"/>
      <c r="H98" s="17"/>
      <c r="I98" s="17"/>
      <c r="J98" s="17">
        <f>L98+O98</f>
        <v>0</v>
      </c>
      <c r="K98" s="17">
        <f>K146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16.5" customHeight="1" x14ac:dyDescent="0.2">
      <c r="A99" s="36" t="s">
        <v>197</v>
      </c>
      <c r="B99" s="18"/>
      <c r="C99" s="3"/>
      <c r="D99" s="15" t="s">
        <v>89</v>
      </c>
      <c r="E99" s="17">
        <f>E100+E101+E107+E113+E117+E125+E134+E140+E135+E136+E118+E127+E143</f>
        <v>46434480</v>
      </c>
      <c r="F99" s="17">
        <f>F100+F101+F107+F113+F117+F125+F134+F140+F135+F136+F118+F127+F143</f>
        <v>46434480</v>
      </c>
      <c r="G99" s="17">
        <f>G100+G101+G107+G113+G117+G125+G134+G140+G135+G136+G118</f>
        <v>2019700</v>
      </c>
      <c r="H99" s="17">
        <f>H100+H101+H107+H113+H117+H125+H134+H140+H135+H136+H118</f>
        <v>34000</v>
      </c>
      <c r="I99" s="17">
        <f>I100+I101+I107+I113+I117+I125+I134+I140+I135+I136+I118</f>
        <v>0</v>
      </c>
      <c r="J99" s="17">
        <f>J100+J101+J107+J113+J117+J125+J134+J140+J135+J118</f>
        <v>2270657</v>
      </c>
      <c r="K99" s="17">
        <f>K100+K101+K107+K113+K117+K125+K134+K140+K145+K118</f>
        <v>2162000</v>
      </c>
      <c r="L99" s="17">
        <f>L100+L101+L107+L113+L117+L125+L134+L140+L135+L118</f>
        <v>108657</v>
      </c>
      <c r="M99" s="17">
        <f>M100+M101+M107+M113+M117+M125+M134+M140</f>
        <v>0</v>
      </c>
      <c r="N99" s="17">
        <f>N100+N101+N107+N113+N117+N125+N134+N140</f>
        <v>0</v>
      </c>
      <c r="O99" s="17">
        <f>O100+O101+O107+O113+O117+O125+O134+O140+O118</f>
        <v>2162000</v>
      </c>
      <c r="P99" s="17">
        <f>P100+P101+P107+P113+P117+P125+P134+P140+P127+P135+P136+P118+P143</f>
        <v>48705137</v>
      </c>
    </row>
    <row r="100" spans="1:16" ht="25.5" x14ac:dyDescent="0.2">
      <c r="A100" s="41" t="s">
        <v>198</v>
      </c>
      <c r="B100" s="4" t="s">
        <v>190</v>
      </c>
      <c r="C100" s="4" t="s">
        <v>116</v>
      </c>
      <c r="D100" s="14" t="s">
        <v>615</v>
      </c>
      <c r="E100" s="11">
        <f t="shared" ref="E100:E137" si="15">F100+I100</f>
        <v>2616700</v>
      </c>
      <c r="F100" s="12">
        <f>1116700+1500000</f>
        <v>2616700</v>
      </c>
      <c r="G100" s="12">
        <f>819700+1200000</f>
        <v>2019700</v>
      </c>
      <c r="H100" s="12">
        <v>34000</v>
      </c>
      <c r="I100" s="12"/>
      <c r="J100" s="11">
        <f t="shared" ref="J100:J146" si="16">L100+O100</f>
        <v>0</v>
      </c>
      <c r="K100" s="12"/>
      <c r="L100" s="12"/>
      <c r="M100" s="12"/>
      <c r="N100" s="12"/>
      <c r="O100" s="12">
        <f>K100</f>
        <v>0</v>
      </c>
      <c r="P100" s="13">
        <f t="shared" si="11"/>
        <v>2616700</v>
      </c>
    </row>
    <row r="101" spans="1:16" x14ac:dyDescent="0.2">
      <c r="A101" s="41" t="s">
        <v>199</v>
      </c>
      <c r="B101" s="4" t="s">
        <v>32</v>
      </c>
      <c r="C101" s="4" t="s">
        <v>2</v>
      </c>
      <c r="D101" s="5" t="s">
        <v>90</v>
      </c>
      <c r="E101" s="11">
        <f t="shared" si="15"/>
        <v>17706918</v>
      </c>
      <c r="F101" s="12">
        <f>14164200+10120000-1000000-2800000-600000-3000000+50000-545400+418118+900000</f>
        <v>17706918</v>
      </c>
      <c r="G101" s="12"/>
      <c r="H101" s="12"/>
      <c r="I101" s="12"/>
      <c r="J101" s="11">
        <f t="shared" si="16"/>
        <v>1000000</v>
      </c>
      <c r="K101" s="12">
        <f>1000000</f>
        <v>1000000</v>
      </c>
      <c r="L101" s="12"/>
      <c r="M101" s="12"/>
      <c r="N101" s="12"/>
      <c r="O101" s="12">
        <f>K101</f>
        <v>1000000</v>
      </c>
      <c r="P101" s="13">
        <f t="shared" si="11"/>
        <v>18706918</v>
      </c>
    </row>
    <row r="102" spans="1:16" ht="15" hidden="1" customHeight="1" x14ac:dyDescent="0.2">
      <c r="A102" s="41"/>
      <c r="B102" s="4"/>
      <c r="C102" s="4"/>
      <c r="D102" s="35" t="s">
        <v>91</v>
      </c>
      <c r="E102" s="10">
        <f t="shared" si="15"/>
        <v>0</v>
      </c>
      <c r="F102" s="17"/>
      <c r="G102" s="12"/>
      <c r="H102" s="12"/>
      <c r="I102" s="12"/>
      <c r="J102" s="11">
        <f t="shared" si="16"/>
        <v>0</v>
      </c>
      <c r="K102" s="12"/>
      <c r="L102" s="12"/>
      <c r="M102" s="12"/>
      <c r="N102" s="12"/>
      <c r="O102" s="12">
        <f t="shared" ref="O102:O127" si="17">K102</f>
        <v>0</v>
      </c>
      <c r="P102" s="13">
        <f t="shared" si="11"/>
        <v>0</v>
      </c>
    </row>
    <row r="103" spans="1:16" ht="13.5" hidden="1" customHeight="1" x14ac:dyDescent="0.2">
      <c r="A103" s="41"/>
      <c r="B103" s="4"/>
      <c r="C103" s="4"/>
      <c r="D103" s="5"/>
      <c r="E103" s="10">
        <f t="shared" si="15"/>
        <v>0</v>
      </c>
      <c r="F103" s="17"/>
      <c r="G103" s="12"/>
      <c r="H103" s="12"/>
      <c r="I103" s="12"/>
      <c r="J103" s="11">
        <f t="shared" si="16"/>
        <v>0</v>
      </c>
      <c r="K103" s="12"/>
      <c r="L103" s="12"/>
      <c r="M103" s="12"/>
      <c r="N103" s="12"/>
      <c r="O103" s="12">
        <f t="shared" si="17"/>
        <v>0</v>
      </c>
      <c r="P103" s="13">
        <f t="shared" si="11"/>
        <v>0</v>
      </c>
    </row>
    <row r="104" spans="1:16" ht="15.75" hidden="1" customHeight="1" x14ac:dyDescent="0.2">
      <c r="A104" s="41"/>
      <c r="B104" s="4"/>
      <c r="C104" s="4"/>
      <c r="D104" s="35" t="s">
        <v>483</v>
      </c>
      <c r="E104" s="10"/>
      <c r="F104" s="17"/>
      <c r="G104" s="12"/>
      <c r="H104" s="12"/>
      <c r="I104" s="12"/>
      <c r="J104" s="11">
        <f t="shared" si="16"/>
        <v>0</v>
      </c>
      <c r="K104" s="12"/>
      <c r="L104" s="12"/>
      <c r="M104" s="12"/>
      <c r="N104" s="12"/>
      <c r="O104" s="12">
        <f>K104</f>
        <v>0</v>
      </c>
      <c r="P104" s="16">
        <f t="shared" si="11"/>
        <v>0</v>
      </c>
    </row>
    <row r="105" spans="1:16" ht="25.5" hidden="1" x14ac:dyDescent="0.2">
      <c r="A105" s="41"/>
      <c r="B105" s="4"/>
      <c r="C105" s="4"/>
      <c r="D105" s="35" t="s">
        <v>591</v>
      </c>
      <c r="E105" s="10">
        <f t="shared" si="15"/>
        <v>0</v>
      </c>
      <c r="F105" s="17"/>
      <c r="G105" s="12"/>
      <c r="H105" s="12"/>
      <c r="I105" s="12"/>
      <c r="J105" s="11">
        <f t="shared" si="16"/>
        <v>0</v>
      </c>
      <c r="K105" s="12"/>
      <c r="L105" s="12"/>
      <c r="M105" s="12"/>
      <c r="N105" s="12"/>
      <c r="O105" s="12">
        <f t="shared" si="17"/>
        <v>0</v>
      </c>
      <c r="P105" s="13">
        <f t="shared" si="11"/>
        <v>0</v>
      </c>
    </row>
    <row r="106" spans="1:16" ht="28.5" hidden="1" customHeight="1" x14ac:dyDescent="0.2">
      <c r="A106" s="41"/>
      <c r="B106" s="4"/>
      <c r="C106" s="4"/>
      <c r="D106" s="19" t="s">
        <v>481</v>
      </c>
      <c r="E106" s="10">
        <f t="shared" si="15"/>
        <v>0</v>
      </c>
      <c r="F106" s="17"/>
      <c r="G106" s="12"/>
      <c r="H106" s="12"/>
      <c r="I106" s="12"/>
      <c r="J106" s="10">
        <f t="shared" si="16"/>
        <v>0</v>
      </c>
      <c r="K106" s="17"/>
      <c r="L106" s="12"/>
      <c r="M106" s="12"/>
      <c r="N106" s="12"/>
      <c r="O106" s="17">
        <f t="shared" si="17"/>
        <v>0</v>
      </c>
      <c r="P106" s="13">
        <f t="shared" si="11"/>
        <v>0</v>
      </c>
    </row>
    <row r="107" spans="1:16" x14ac:dyDescent="0.2">
      <c r="A107" s="41" t="s">
        <v>201</v>
      </c>
      <c r="B107" s="4" t="s">
        <v>200</v>
      </c>
      <c r="C107" s="4" t="s">
        <v>3</v>
      </c>
      <c r="D107" s="76" t="s">
        <v>92</v>
      </c>
      <c r="E107" s="11">
        <f t="shared" si="15"/>
        <v>2884900</v>
      </c>
      <c r="F107" s="12">
        <f>2414300-9400+480000</f>
        <v>2884900</v>
      </c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 t="shared" si="17"/>
        <v>0</v>
      </c>
      <c r="P107" s="13">
        <f t="shared" si="11"/>
        <v>2884900</v>
      </c>
    </row>
    <row r="108" spans="1:16" hidden="1" x14ac:dyDescent="0.2">
      <c r="A108" s="41"/>
      <c r="B108" s="4"/>
      <c r="C108" s="4"/>
      <c r="D108" s="35" t="s">
        <v>91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0</v>
      </c>
    </row>
    <row r="109" spans="1:16" hidden="1" x14ac:dyDescent="0.2">
      <c r="A109" s="41" t="s">
        <v>204</v>
      </c>
      <c r="B109" s="4" t="s">
        <v>203</v>
      </c>
      <c r="C109" s="4" t="s">
        <v>5</v>
      </c>
      <c r="D109" s="5" t="s">
        <v>202</v>
      </c>
      <c r="E109" s="11">
        <f t="shared" si="15"/>
        <v>0</v>
      </c>
      <c r="F109" s="12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91</v>
      </c>
      <c r="E110" s="11">
        <f t="shared" si="15"/>
        <v>0</v>
      </c>
      <c r="F110" s="12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 t="shared" si="17"/>
        <v>0</v>
      </c>
      <c r="P110" s="13">
        <f t="shared" si="11"/>
        <v>0</v>
      </c>
    </row>
    <row r="111" spans="1:16" ht="25.5" hidden="1" x14ac:dyDescent="0.2">
      <c r="A111" s="41"/>
      <c r="B111" s="4"/>
      <c r="C111" s="4"/>
      <c r="D111" s="35" t="s">
        <v>467</v>
      </c>
      <c r="E111" s="11"/>
      <c r="F111" s="12"/>
      <c r="G111" s="12"/>
      <c r="H111" s="12"/>
      <c r="I111" s="12"/>
      <c r="J111" s="10">
        <f t="shared" si="16"/>
        <v>0</v>
      </c>
      <c r="K111" s="17"/>
      <c r="L111" s="12"/>
      <c r="M111" s="12"/>
      <c r="N111" s="12"/>
      <c r="O111" s="17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481</v>
      </c>
      <c r="E112" s="10">
        <f>F112</f>
        <v>0</v>
      </c>
      <c r="F112" s="17"/>
      <c r="G112" s="12"/>
      <c r="H112" s="12"/>
      <c r="I112" s="12"/>
      <c r="J112" s="10"/>
      <c r="K112" s="17"/>
      <c r="L112" s="12"/>
      <c r="M112" s="12"/>
      <c r="N112" s="12"/>
      <c r="O112" s="17"/>
      <c r="P112" s="13">
        <f t="shared" si="11"/>
        <v>0</v>
      </c>
    </row>
    <row r="113" spans="1:16" ht="15.75" hidden="1" x14ac:dyDescent="0.25">
      <c r="A113" s="41" t="s">
        <v>550</v>
      </c>
      <c r="B113" s="4" t="s">
        <v>551</v>
      </c>
      <c r="C113" s="4" t="s">
        <v>5</v>
      </c>
      <c r="D113" s="46" t="s">
        <v>552</v>
      </c>
      <c r="E113" s="11">
        <f>F113+I113</f>
        <v>0</v>
      </c>
      <c r="F113" s="12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>K113</f>
        <v>0</v>
      </c>
      <c r="P113" s="13">
        <f t="shared" si="11"/>
        <v>0</v>
      </c>
    </row>
    <row r="114" spans="1:16" s="1" customFormat="1" hidden="1" x14ac:dyDescent="0.2">
      <c r="A114" s="36"/>
      <c r="B114" s="3"/>
      <c r="C114" s="3"/>
      <c r="D114" s="35" t="s">
        <v>91</v>
      </c>
      <c r="E114" s="10">
        <f>F114</f>
        <v>0</v>
      </c>
      <c r="F114" s="17"/>
      <c r="G114" s="17"/>
      <c r="H114" s="17"/>
      <c r="I114" s="17"/>
      <c r="J114" s="10">
        <f t="shared" si="16"/>
        <v>0</v>
      </c>
      <c r="K114" s="17"/>
      <c r="L114" s="17"/>
      <c r="M114" s="17"/>
      <c r="N114" s="17"/>
      <c r="O114" s="17">
        <f>K114</f>
        <v>0</v>
      </c>
      <c r="P114" s="13">
        <f>E114</f>
        <v>0</v>
      </c>
    </row>
    <row r="115" spans="1:16" s="1" customFormat="1" ht="25.5" hidden="1" x14ac:dyDescent="0.2">
      <c r="A115" s="36"/>
      <c r="B115" s="3"/>
      <c r="C115" s="3"/>
      <c r="D115" s="35" t="s">
        <v>467</v>
      </c>
      <c r="E115" s="10">
        <f>F115</f>
        <v>0</v>
      </c>
      <c r="F115" s="17"/>
      <c r="G115" s="17"/>
      <c r="H115" s="17"/>
      <c r="I115" s="17"/>
      <c r="J115" s="10">
        <f t="shared" si="16"/>
        <v>0</v>
      </c>
      <c r="K115" s="17"/>
      <c r="L115" s="17"/>
      <c r="M115" s="17"/>
      <c r="N115" s="17"/>
      <c r="O115" s="17">
        <f>K115</f>
        <v>0</v>
      </c>
      <c r="P115" s="13">
        <f t="shared" si="11"/>
        <v>0</v>
      </c>
    </row>
    <row r="116" spans="1:16" s="1" customFormat="1" ht="25.5" hidden="1" x14ac:dyDescent="0.2">
      <c r="A116" s="36"/>
      <c r="B116" s="3"/>
      <c r="C116" s="3"/>
      <c r="D116" s="19" t="s">
        <v>481</v>
      </c>
      <c r="E116" s="10">
        <f>F116</f>
        <v>0</v>
      </c>
      <c r="F116" s="17"/>
      <c r="G116" s="17"/>
      <c r="H116" s="17"/>
      <c r="I116" s="17"/>
      <c r="J116" s="10"/>
      <c r="K116" s="17"/>
      <c r="L116" s="17"/>
      <c r="M116" s="17"/>
      <c r="N116" s="17"/>
      <c r="O116" s="17"/>
      <c r="P116" s="13">
        <f>E116</f>
        <v>0</v>
      </c>
    </row>
    <row r="117" spans="1:16" hidden="1" x14ac:dyDescent="0.2">
      <c r="A117" s="41" t="s">
        <v>209</v>
      </c>
      <c r="B117" s="4" t="s">
        <v>208</v>
      </c>
      <c r="C117" s="4"/>
      <c r="D117" s="14" t="s">
        <v>424</v>
      </c>
      <c r="E117" s="11">
        <f t="shared" ref="E117:E122" si="18">F117+I117</f>
        <v>0</v>
      </c>
      <c r="F117" s="12"/>
      <c r="G117" s="12"/>
      <c r="H117" s="12"/>
      <c r="I117" s="12"/>
      <c r="J117" s="11">
        <f>L117+O117</f>
        <v>0</v>
      </c>
      <c r="K117" s="12"/>
      <c r="L117" s="12"/>
      <c r="M117" s="12"/>
      <c r="N117" s="12">
        <f>N118</f>
        <v>0</v>
      </c>
      <c r="O117" s="12">
        <f t="shared" si="17"/>
        <v>0</v>
      </c>
      <c r="P117" s="13">
        <f t="shared" ref="P117:P147" si="19">E117+J117</f>
        <v>0</v>
      </c>
    </row>
    <row r="118" spans="1:16" ht="25.5" x14ac:dyDescent="0.2">
      <c r="A118" s="41" t="s">
        <v>212</v>
      </c>
      <c r="B118" s="4" t="s">
        <v>211</v>
      </c>
      <c r="C118" s="4" t="s">
        <v>450</v>
      </c>
      <c r="D118" s="14" t="s">
        <v>210</v>
      </c>
      <c r="E118" s="11">
        <f t="shared" si="18"/>
        <v>9119200</v>
      </c>
      <c r="F118" s="12">
        <f>10499200-900000-480000</f>
        <v>9119200</v>
      </c>
      <c r="G118" s="12"/>
      <c r="H118" s="12"/>
      <c r="I118" s="12"/>
      <c r="J118" s="11">
        <f>L118+O118</f>
        <v>89100</v>
      </c>
      <c r="K118" s="12"/>
      <c r="L118" s="12">
        <v>89100</v>
      </c>
      <c r="M118" s="12"/>
      <c r="N118" s="12"/>
      <c r="O118" s="12">
        <f t="shared" si="17"/>
        <v>0</v>
      </c>
      <c r="P118" s="13">
        <f t="shared" si="19"/>
        <v>9208300</v>
      </c>
    </row>
    <row r="119" spans="1:16" hidden="1" x14ac:dyDescent="0.2">
      <c r="A119" s="41"/>
      <c r="B119" s="4"/>
      <c r="C119" s="4"/>
      <c r="D119" s="35" t="s">
        <v>91</v>
      </c>
      <c r="E119" s="10">
        <f t="shared" si="18"/>
        <v>0</v>
      </c>
      <c r="F119" s="12"/>
      <c r="G119" s="12"/>
      <c r="H119" s="12"/>
      <c r="I119" s="12"/>
      <c r="J119" s="10">
        <f>L119+O119</f>
        <v>0</v>
      </c>
      <c r="K119" s="12"/>
      <c r="L119" s="12"/>
      <c r="M119" s="12"/>
      <c r="N119" s="12"/>
      <c r="O119" s="12">
        <f t="shared" si="17"/>
        <v>0</v>
      </c>
      <c r="P119" s="13">
        <f t="shared" si="19"/>
        <v>0</v>
      </c>
    </row>
    <row r="120" spans="1:16" ht="25.5" hidden="1" x14ac:dyDescent="0.2">
      <c r="A120" s="41"/>
      <c r="B120" s="4"/>
      <c r="C120" s="4"/>
      <c r="D120" s="35" t="s">
        <v>157</v>
      </c>
      <c r="E120" s="10">
        <f t="shared" si="18"/>
        <v>0</v>
      </c>
      <c r="F120" s="12"/>
      <c r="G120" s="12"/>
      <c r="H120" s="12"/>
      <c r="I120" s="12"/>
      <c r="J120" s="10">
        <f>L120+O120</f>
        <v>0</v>
      </c>
      <c r="K120" s="12"/>
      <c r="L120" s="12"/>
      <c r="M120" s="12"/>
      <c r="N120" s="12"/>
      <c r="O120" s="12">
        <f t="shared" si="17"/>
        <v>0</v>
      </c>
      <c r="P120" s="13">
        <f t="shared" si="19"/>
        <v>0</v>
      </c>
    </row>
    <row r="121" spans="1:16" s="1" customFormat="1" hidden="1" x14ac:dyDescent="0.2">
      <c r="A121" s="36"/>
      <c r="B121" s="3"/>
      <c r="C121" s="3"/>
      <c r="D121" s="35" t="s">
        <v>91</v>
      </c>
      <c r="E121" s="10">
        <f t="shared" si="18"/>
        <v>0</v>
      </c>
      <c r="F121" s="17"/>
      <c r="G121" s="17"/>
      <c r="H121" s="17"/>
      <c r="I121" s="17"/>
      <c r="J121" s="10">
        <f>L121+O121</f>
        <v>0</v>
      </c>
      <c r="K121" s="17"/>
      <c r="L121" s="17"/>
      <c r="M121" s="17"/>
      <c r="N121" s="17"/>
      <c r="O121" s="12">
        <f t="shared" si="17"/>
        <v>0</v>
      </c>
      <c r="P121" s="13">
        <f t="shared" si="19"/>
        <v>0</v>
      </c>
    </row>
    <row r="122" spans="1:16" s="1" customFormat="1" ht="25.5" hidden="1" x14ac:dyDescent="0.2">
      <c r="A122" s="36"/>
      <c r="B122" s="3"/>
      <c r="C122" s="3"/>
      <c r="D122" s="35" t="s">
        <v>467</v>
      </c>
      <c r="E122" s="10">
        <f t="shared" si="18"/>
        <v>0</v>
      </c>
      <c r="F122" s="17"/>
      <c r="G122" s="17"/>
      <c r="H122" s="17"/>
      <c r="I122" s="17"/>
      <c r="J122" s="11">
        <f t="shared" si="16"/>
        <v>0</v>
      </c>
      <c r="K122" s="17"/>
      <c r="L122" s="17"/>
      <c r="M122" s="17"/>
      <c r="N122" s="17"/>
      <c r="O122" s="12">
        <f t="shared" si="17"/>
        <v>0</v>
      </c>
      <c r="P122" s="13">
        <f t="shared" si="19"/>
        <v>0</v>
      </c>
    </row>
    <row r="123" spans="1:16" hidden="1" x14ac:dyDescent="0.2">
      <c r="A123" s="41" t="s">
        <v>207</v>
      </c>
      <c r="B123" s="4" t="s">
        <v>206</v>
      </c>
      <c r="C123" s="4" t="s">
        <v>6</v>
      </c>
      <c r="D123" s="14" t="s">
        <v>205</v>
      </c>
      <c r="E123" s="11">
        <f t="shared" si="15"/>
        <v>0</v>
      </c>
      <c r="F123" s="12"/>
      <c r="G123" s="12"/>
      <c r="H123" s="12"/>
      <c r="I123" s="12"/>
      <c r="J123" s="11">
        <f t="shared" si="16"/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hidden="1" x14ac:dyDescent="0.2">
      <c r="A124" s="41"/>
      <c r="B124" s="4"/>
      <c r="C124" s="4"/>
      <c r="D124" s="35" t="s">
        <v>91</v>
      </c>
      <c r="E124" s="11">
        <f t="shared" si="15"/>
        <v>0</v>
      </c>
      <c r="F124" s="12"/>
      <c r="G124" s="12"/>
      <c r="H124" s="12"/>
      <c r="I124" s="12"/>
      <c r="J124" s="11">
        <f t="shared" si="16"/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0</v>
      </c>
    </row>
    <row r="125" spans="1:16" hidden="1" x14ac:dyDescent="0.2">
      <c r="A125" s="41" t="s">
        <v>214</v>
      </c>
      <c r="B125" s="4" t="s">
        <v>33</v>
      </c>
      <c r="C125" s="4"/>
      <c r="D125" s="77" t="s">
        <v>213</v>
      </c>
      <c r="E125" s="11">
        <f t="shared" si="15"/>
        <v>0</v>
      </c>
      <c r="F125" s="12"/>
      <c r="G125" s="12"/>
      <c r="H125" s="12"/>
      <c r="I125" s="12"/>
      <c r="J125" s="11">
        <f t="shared" si="16"/>
        <v>0</v>
      </c>
      <c r="K125" s="12"/>
      <c r="L125" s="12"/>
      <c r="M125" s="12"/>
      <c r="N125" s="12">
        <f>N126+N127+N131</f>
        <v>0</v>
      </c>
      <c r="O125" s="12">
        <f t="shared" si="17"/>
        <v>0</v>
      </c>
      <c r="P125" s="13">
        <f t="shared" si="19"/>
        <v>0</v>
      </c>
    </row>
    <row r="126" spans="1:16" s="1" customFormat="1" hidden="1" x14ac:dyDescent="0.2">
      <c r="A126" s="36" t="s">
        <v>217</v>
      </c>
      <c r="B126" s="3" t="s">
        <v>216</v>
      </c>
      <c r="C126" s="3" t="s">
        <v>7</v>
      </c>
      <c r="D126" s="19" t="s">
        <v>215</v>
      </c>
      <c r="E126" s="10">
        <f t="shared" si="15"/>
        <v>0</v>
      </c>
      <c r="F126" s="10"/>
      <c r="G126" s="10"/>
      <c r="H126" s="10"/>
      <c r="I126" s="10"/>
      <c r="J126" s="11">
        <f t="shared" si="16"/>
        <v>0</v>
      </c>
      <c r="K126" s="10"/>
      <c r="L126" s="10"/>
      <c r="M126" s="10"/>
      <c r="N126" s="10"/>
      <c r="O126" s="17">
        <f t="shared" si="17"/>
        <v>0</v>
      </c>
      <c r="P126" s="13">
        <f t="shared" si="19"/>
        <v>0</v>
      </c>
    </row>
    <row r="127" spans="1:16" x14ac:dyDescent="0.2">
      <c r="A127" s="41" t="s">
        <v>220</v>
      </c>
      <c r="B127" s="4" t="s">
        <v>219</v>
      </c>
      <c r="C127" s="4" t="s">
        <v>7</v>
      </c>
      <c r="D127" s="21" t="s">
        <v>218</v>
      </c>
      <c r="E127" s="11">
        <f t="shared" si="15"/>
        <v>4004962</v>
      </c>
      <c r="F127" s="11">
        <v>4004962</v>
      </c>
      <c r="G127" s="11"/>
      <c r="H127" s="11"/>
      <c r="I127" s="11"/>
      <c r="J127" s="11">
        <f t="shared" si="16"/>
        <v>0</v>
      </c>
      <c r="K127" s="11"/>
      <c r="L127" s="11"/>
      <c r="M127" s="11"/>
      <c r="N127" s="11"/>
      <c r="O127" s="12">
        <f t="shared" si="17"/>
        <v>0</v>
      </c>
      <c r="P127" s="13">
        <f t="shared" si="19"/>
        <v>4004962</v>
      </c>
    </row>
    <row r="128" spans="1:16" s="1" customFormat="1" ht="29.25" hidden="1" customHeight="1" x14ac:dyDescent="0.2">
      <c r="A128" s="36"/>
      <c r="B128" s="3"/>
      <c r="C128" s="3"/>
      <c r="D128" s="19" t="s">
        <v>591</v>
      </c>
      <c r="E128" s="10">
        <f t="shared" si="15"/>
        <v>0</v>
      </c>
      <c r="F128" s="10"/>
      <c r="G128" s="10"/>
      <c r="H128" s="10"/>
      <c r="I128" s="10"/>
      <c r="J128" s="11"/>
      <c r="K128" s="10"/>
      <c r="L128" s="10"/>
      <c r="M128" s="10"/>
      <c r="N128" s="10"/>
      <c r="O128" s="17"/>
      <c r="P128" s="13">
        <f t="shared" si="19"/>
        <v>0</v>
      </c>
    </row>
    <row r="129" spans="1:16" s="1" customFormat="1" ht="38.25" hidden="1" x14ac:dyDescent="0.2">
      <c r="A129" s="36"/>
      <c r="B129" s="3"/>
      <c r="C129" s="3"/>
      <c r="D129" s="19" t="s">
        <v>585</v>
      </c>
      <c r="E129" s="10">
        <f>F129</f>
        <v>0</v>
      </c>
      <c r="F129" s="10"/>
      <c r="G129" s="10"/>
      <c r="H129" s="10"/>
      <c r="I129" s="10"/>
      <c r="J129" s="11"/>
      <c r="K129" s="10"/>
      <c r="L129" s="10"/>
      <c r="M129" s="10"/>
      <c r="N129" s="10"/>
      <c r="O129" s="17"/>
      <c r="P129" s="13">
        <f t="shared" si="19"/>
        <v>0</v>
      </c>
    </row>
    <row r="130" spans="1:16" s="1" customFormat="1" ht="38.25" x14ac:dyDescent="0.2">
      <c r="A130" s="36"/>
      <c r="B130" s="3"/>
      <c r="C130" s="3"/>
      <c r="D130" s="19" t="s">
        <v>649</v>
      </c>
      <c r="E130" s="10">
        <f>F130</f>
        <v>4004962</v>
      </c>
      <c r="F130" s="10">
        <f>F127</f>
        <v>4004962</v>
      </c>
      <c r="G130" s="10"/>
      <c r="H130" s="10"/>
      <c r="I130" s="10"/>
      <c r="J130" s="11"/>
      <c r="K130" s="10"/>
      <c r="L130" s="10"/>
      <c r="M130" s="10"/>
      <c r="N130" s="10"/>
      <c r="O130" s="17"/>
      <c r="P130" s="13">
        <f t="shared" si="19"/>
        <v>4004962</v>
      </c>
    </row>
    <row r="131" spans="1:16" s="1" customFormat="1" hidden="1" x14ac:dyDescent="0.2">
      <c r="A131" s="36" t="s">
        <v>223</v>
      </c>
      <c r="B131" s="3" t="s">
        <v>222</v>
      </c>
      <c r="C131" s="3" t="s">
        <v>7</v>
      </c>
      <c r="D131" s="19" t="s">
        <v>221</v>
      </c>
      <c r="E131" s="10">
        <f>F131+I131</f>
        <v>0</v>
      </c>
      <c r="F131" s="10"/>
      <c r="G131" s="10"/>
      <c r="H131" s="10"/>
      <c r="I131" s="10"/>
      <c r="J131" s="11">
        <f t="shared" si="16"/>
        <v>0</v>
      </c>
      <c r="K131" s="10"/>
      <c r="L131" s="10"/>
      <c r="M131" s="10"/>
      <c r="N131" s="10"/>
      <c r="O131" s="17">
        <f>K131</f>
        <v>0</v>
      </c>
      <c r="P131" s="13">
        <f t="shared" si="19"/>
        <v>0</v>
      </c>
    </row>
    <row r="132" spans="1:16" s="1" customFormat="1" hidden="1" x14ac:dyDescent="0.2">
      <c r="A132" s="36"/>
      <c r="B132" s="3"/>
      <c r="C132" s="3"/>
      <c r="D132" s="19" t="s">
        <v>91</v>
      </c>
      <c r="E132" s="10">
        <f t="shared" si="15"/>
        <v>0</v>
      </c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s="1" customFormat="1" ht="38.25" hidden="1" x14ac:dyDescent="0.2">
      <c r="A133" s="36"/>
      <c r="B133" s="3"/>
      <c r="C133" s="3"/>
      <c r="D133" s="19" t="s">
        <v>482</v>
      </c>
      <c r="E133" s="10"/>
      <c r="F133" s="10"/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0</v>
      </c>
    </row>
    <row r="134" spans="1:16" hidden="1" x14ac:dyDescent="0.2">
      <c r="A134" s="41" t="s">
        <v>226</v>
      </c>
      <c r="B134" s="4" t="s">
        <v>225</v>
      </c>
      <c r="C134" s="4"/>
      <c r="D134" s="14" t="s">
        <v>224</v>
      </c>
      <c r="E134" s="11">
        <f t="shared" si="15"/>
        <v>0</v>
      </c>
      <c r="F134" s="12"/>
      <c r="G134" s="12"/>
      <c r="H134" s="12"/>
      <c r="I134" s="12"/>
      <c r="J134" s="11">
        <f t="shared" si="16"/>
        <v>0</v>
      </c>
      <c r="K134" s="12"/>
      <c r="L134" s="12"/>
      <c r="M134" s="12"/>
      <c r="N134" s="12"/>
      <c r="O134" s="12">
        <f>K134</f>
        <v>0</v>
      </c>
      <c r="P134" s="13">
        <f t="shared" si="19"/>
        <v>0</v>
      </c>
    </row>
    <row r="135" spans="1:16" x14ac:dyDescent="0.2">
      <c r="A135" s="41" t="s">
        <v>397</v>
      </c>
      <c r="B135" s="4" t="s">
        <v>395</v>
      </c>
      <c r="C135" s="4" t="s">
        <v>7</v>
      </c>
      <c r="D135" s="14" t="s">
        <v>399</v>
      </c>
      <c r="E135" s="11">
        <f t="shared" si="15"/>
        <v>2931800</v>
      </c>
      <c r="F135" s="12">
        <f>6674500-3742700</f>
        <v>2931800</v>
      </c>
      <c r="G135" s="12"/>
      <c r="H135" s="12"/>
      <c r="I135" s="12"/>
      <c r="J135" s="11">
        <f t="shared" si="16"/>
        <v>19557</v>
      </c>
      <c r="K135" s="12"/>
      <c r="L135" s="12">
        <v>19557</v>
      </c>
      <c r="M135" s="12"/>
      <c r="N135" s="12"/>
      <c r="O135" s="12">
        <f>K135</f>
        <v>0</v>
      </c>
      <c r="P135" s="13">
        <f t="shared" si="19"/>
        <v>2951357</v>
      </c>
    </row>
    <row r="136" spans="1:16" x14ac:dyDescent="0.2">
      <c r="A136" s="41" t="s">
        <v>398</v>
      </c>
      <c r="B136" s="4" t="s">
        <v>396</v>
      </c>
      <c r="C136" s="4" t="s">
        <v>7</v>
      </c>
      <c r="D136" s="14" t="s">
        <v>400</v>
      </c>
      <c r="E136" s="11">
        <f t="shared" si="15"/>
        <v>7170000</v>
      </c>
      <c r="F136" s="12">
        <v>7170000</v>
      </c>
      <c r="G136" s="12"/>
      <c r="H136" s="12"/>
      <c r="I136" s="12"/>
      <c r="J136" s="11">
        <f t="shared" si="16"/>
        <v>0</v>
      </c>
      <c r="K136" s="12"/>
      <c r="L136" s="12"/>
      <c r="M136" s="12"/>
      <c r="N136" s="12"/>
      <c r="O136" s="12">
        <f>K136</f>
        <v>0</v>
      </c>
      <c r="P136" s="13">
        <f t="shared" si="19"/>
        <v>7170000</v>
      </c>
    </row>
    <row r="137" spans="1:16" ht="26.25" hidden="1" customHeight="1" x14ac:dyDescent="0.2">
      <c r="A137" s="41"/>
      <c r="B137" s="4"/>
      <c r="C137" s="4"/>
      <c r="D137" s="35" t="s">
        <v>91</v>
      </c>
      <c r="E137" s="11">
        <f t="shared" si="15"/>
        <v>0</v>
      </c>
      <c r="F137" s="12"/>
      <c r="G137" s="12"/>
      <c r="H137" s="12"/>
      <c r="I137" s="12"/>
      <c r="J137" s="10">
        <f t="shared" si="16"/>
        <v>0</v>
      </c>
      <c r="K137" s="12"/>
      <c r="L137" s="12"/>
      <c r="M137" s="12"/>
      <c r="N137" s="12"/>
      <c r="O137" s="17">
        <f>K137</f>
        <v>0</v>
      </c>
      <c r="P137" s="16">
        <f t="shared" si="19"/>
        <v>0</v>
      </c>
    </row>
    <row r="138" spans="1:16" s="1" customFormat="1" hidden="1" x14ac:dyDescent="0.2">
      <c r="A138" s="36"/>
      <c r="B138" s="3"/>
      <c r="C138" s="3"/>
      <c r="D138" s="35" t="s">
        <v>483</v>
      </c>
      <c r="E138" s="10">
        <f>F138</f>
        <v>0</v>
      </c>
      <c r="F138" s="17"/>
      <c r="G138" s="17"/>
      <c r="H138" s="17"/>
      <c r="I138" s="17"/>
      <c r="J138" s="10">
        <f t="shared" si="16"/>
        <v>0</v>
      </c>
      <c r="K138" s="17"/>
      <c r="L138" s="17"/>
      <c r="M138" s="17"/>
      <c r="N138" s="17"/>
      <c r="O138" s="17">
        <f>K138</f>
        <v>0</v>
      </c>
      <c r="P138" s="16">
        <f t="shared" si="19"/>
        <v>0</v>
      </c>
    </row>
    <row r="139" spans="1:16" s="1" customFormat="1" ht="25.5" hidden="1" x14ac:dyDescent="0.2">
      <c r="A139" s="36"/>
      <c r="B139" s="3"/>
      <c r="C139" s="3"/>
      <c r="D139" s="35" t="s">
        <v>467</v>
      </c>
      <c r="E139" s="10">
        <f t="shared" ref="E139:E144" si="20">F139</f>
        <v>0</v>
      </c>
      <c r="F139" s="17"/>
      <c r="G139" s="17"/>
      <c r="H139" s="17"/>
      <c r="I139" s="17"/>
      <c r="J139" s="10"/>
      <c r="K139" s="17"/>
      <c r="L139" s="17"/>
      <c r="M139" s="17"/>
      <c r="N139" s="17"/>
      <c r="O139" s="17"/>
      <c r="P139" s="16">
        <f t="shared" si="19"/>
        <v>0</v>
      </c>
    </row>
    <row r="140" spans="1:16" ht="25.5" hidden="1" x14ac:dyDescent="0.2">
      <c r="A140" s="41" t="s">
        <v>504</v>
      </c>
      <c r="B140" s="4" t="s">
        <v>492</v>
      </c>
      <c r="C140" s="4"/>
      <c r="D140" s="23" t="s">
        <v>507</v>
      </c>
      <c r="E140" s="10">
        <f t="shared" si="20"/>
        <v>0</v>
      </c>
      <c r="F140" s="11"/>
      <c r="G140" s="11"/>
      <c r="H140" s="11"/>
      <c r="I140" s="11"/>
      <c r="J140" s="11">
        <f t="shared" ref="J140:O140" si="21">J141+J145</f>
        <v>1162000</v>
      </c>
      <c r="K140" s="11"/>
      <c r="L140" s="11"/>
      <c r="M140" s="11"/>
      <c r="N140" s="11">
        <f t="shared" si="21"/>
        <v>0</v>
      </c>
      <c r="O140" s="11">
        <f t="shared" si="21"/>
        <v>1162000</v>
      </c>
      <c r="P140" s="16">
        <f t="shared" si="19"/>
        <v>1162000</v>
      </c>
    </row>
    <row r="141" spans="1:16" s="1" customFormat="1" ht="25.5" hidden="1" x14ac:dyDescent="0.2">
      <c r="A141" s="36" t="s">
        <v>516</v>
      </c>
      <c r="B141" s="3" t="s">
        <v>517</v>
      </c>
      <c r="C141" s="3" t="s">
        <v>122</v>
      </c>
      <c r="D141" s="78" t="s">
        <v>518</v>
      </c>
      <c r="E141" s="10">
        <f t="shared" si="20"/>
        <v>0</v>
      </c>
      <c r="F141" s="10"/>
      <c r="G141" s="10"/>
      <c r="H141" s="10"/>
      <c r="I141" s="10"/>
      <c r="J141" s="11">
        <f t="shared" si="16"/>
        <v>0</v>
      </c>
      <c r="K141" s="11"/>
      <c r="L141" s="11"/>
      <c r="M141" s="11"/>
      <c r="N141" s="11"/>
      <c r="O141" s="12">
        <f>K141</f>
        <v>0</v>
      </c>
      <c r="P141" s="16">
        <f t="shared" si="19"/>
        <v>0</v>
      </c>
    </row>
    <row r="142" spans="1:16" s="1" customFormat="1" ht="25.5" hidden="1" x14ac:dyDescent="0.2">
      <c r="A142" s="36"/>
      <c r="B142" s="3"/>
      <c r="C142" s="3"/>
      <c r="D142" s="69" t="s">
        <v>519</v>
      </c>
      <c r="E142" s="10">
        <f t="shared" si="20"/>
        <v>0</v>
      </c>
      <c r="F142" s="10"/>
      <c r="G142" s="10"/>
      <c r="H142" s="10"/>
      <c r="I142" s="10"/>
      <c r="J142" s="10">
        <f t="shared" si="16"/>
        <v>0</v>
      </c>
      <c r="K142" s="10"/>
      <c r="L142" s="10"/>
      <c r="M142" s="10"/>
      <c r="N142" s="10"/>
      <c r="O142" s="17">
        <f>K142</f>
        <v>0</v>
      </c>
      <c r="P142" s="16">
        <f t="shared" si="19"/>
        <v>0</v>
      </c>
    </row>
    <row r="143" spans="1:16" hidden="1" x14ac:dyDescent="0.2">
      <c r="A143" s="41" t="s">
        <v>592</v>
      </c>
      <c r="B143" s="4" t="s">
        <v>412</v>
      </c>
      <c r="C143" s="4" t="s">
        <v>117</v>
      </c>
      <c r="D143" s="72" t="s">
        <v>411</v>
      </c>
      <c r="E143" s="11">
        <f t="shared" si="20"/>
        <v>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2"/>
      <c r="P143" s="13">
        <f t="shared" si="19"/>
        <v>0</v>
      </c>
    </row>
    <row r="144" spans="1:16" s="1" customFormat="1" hidden="1" x14ac:dyDescent="0.2">
      <c r="A144" s="36"/>
      <c r="B144" s="3"/>
      <c r="C144" s="3"/>
      <c r="D144" s="70" t="s">
        <v>483</v>
      </c>
      <c r="E144" s="10">
        <f t="shared" si="20"/>
        <v>0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7"/>
      <c r="P144" s="16">
        <f t="shared" si="19"/>
        <v>0</v>
      </c>
    </row>
    <row r="145" spans="1:18" s="1" customFormat="1" ht="25.5" x14ac:dyDescent="0.2">
      <c r="A145" s="36" t="s">
        <v>505</v>
      </c>
      <c r="B145" s="3" t="s">
        <v>506</v>
      </c>
      <c r="C145" s="3" t="s">
        <v>122</v>
      </c>
      <c r="D145" s="77" t="s">
        <v>509</v>
      </c>
      <c r="E145" s="10">
        <f>F145</f>
        <v>0</v>
      </c>
      <c r="F145" s="17"/>
      <c r="G145" s="17"/>
      <c r="H145" s="17"/>
      <c r="I145" s="17"/>
      <c r="J145" s="11">
        <f t="shared" si="16"/>
        <v>1162000</v>
      </c>
      <c r="K145" s="12">
        <v>1162000</v>
      </c>
      <c r="L145" s="12"/>
      <c r="M145" s="12"/>
      <c r="N145" s="12"/>
      <c r="O145" s="12">
        <f>K145</f>
        <v>1162000</v>
      </c>
      <c r="P145" s="16">
        <f t="shared" si="19"/>
        <v>1162000</v>
      </c>
    </row>
    <row r="146" spans="1:18" s="1" customFormat="1" ht="25.5" hidden="1" x14ac:dyDescent="0.2">
      <c r="A146" s="36"/>
      <c r="B146" s="3"/>
      <c r="C146" s="3"/>
      <c r="D146" s="35" t="s">
        <v>510</v>
      </c>
      <c r="E146" s="10">
        <f>F146</f>
        <v>0</v>
      </c>
      <c r="F146" s="17"/>
      <c r="G146" s="17"/>
      <c r="H146" s="17"/>
      <c r="I146" s="17"/>
      <c r="J146" s="10">
        <f t="shared" si="16"/>
        <v>0</v>
      </c>
      <c r="K146" s="17"/>
      <c r="L146" s="17"/>
      <c r="M146" s="17"/>
      <c r="N146" s="17"/>
      <c r="O146" s="17">
        <f>K146</f>
        <v>0</v>
      </c>
      <c r="P146" s="16">
        <f t="shared" si="19"/>
        <v>0</v>
      </c>
    </row>
    <row r="147" spans="1:18" s="1" customFormat="1" hidden="1" x14ac:dyDescent="0.2">
      <c r="A147" s="36" t="s">
        <v>590</v>
      </c>
      <c r="B147" s="3"/>
      <c r="C147" s="3"/>
      <c r="D147" s="72"/>
      <c r="E147" s="10">
        <f>F147</f>
        <v>0</v>
      </c>
      <c r="F147" s="17"/>
      <c r="G147" s="17"/>
      <c r="H147" s="17"/>
      <c r="I147" s="17"/>
      <c r="J147" s="10">
        <f>L147+O147</f>
        <v>0</v>
      </c>
      <c r="K147" s="17"/>
      <c r="L147" s="17"/>
      <c r="M147" s="17"/>
      <c r="N147" s="17"/>
      <c r="O147" s="17">
        <f>K147</f>
        <v>0</v>
      </c>
      <c r="P147" s="16">
        <f t="shared" si="19"/>
        <v>0</v>
      </c>
    </row>
    <row r="148" spans="1:18" ht="25.5" x14ac:dyDescent="0.2">
      <c r="A148" s="62" t="s">
        <v>170</v>
      </c>
      <c r="B148" s="6"/>
      <c r="C148" s="7"/>
      <c r="D148" s="31" t="s">
        <v>8</v>
      </c>
      <c r="E148" s="25">
        <f>E150</f>
        <v>51362700</v>
      </c>
      <c r="F148" s="25">
        <f t="shared" ref="F148:P148" si="22">F150</f>
        <v>51362700</v>
      </c>
      <c r="G148" s="25">
        <f t="shared" si="22"/>
        <v>29066000</v>
      </c>
      <c r="H148" s="25">
        <f t="shared" si="22"/>
        <v>505200</v>
      </c>
      <c r="I148" s="25">
        <f t="shared" si="22"/>
        <v>0</v>
      </c>
      <c r="J148" s="25">
        <f t="shared" si="22"/>
        <v>975871</v>
      </c>
      <c r="K148" s="25">
        <f>K150</f>
        <v>320000</v>
      </c>
      <c r="L148" s="25">
        <f t="shared" si="22"/>
        <v>655871</v>
      </c>
      <c r="M148" s="25">
        <f t="shared" si="22"/>
        <v>38353</v>
      </c>
      <c r="N148" s="25">
        <f t="shared" si="22"/>
        <v>431800</v>
      </c>
      <c r="O148" s="25">
        <f t="shared" si="22"/>
        <v>320000</v>
      </c>
      <c r="P148" s="25">
        <f t="shared" si="22"/>
        <v>52338571</v>
      </c>
      <c r="R148" s="34"/>
    </row>
    <row r="149" spans="1:18" ht="12" hidden="1" customHeight="1" x14ac:dyDescent="0.2">
      <c r="A149" s="62"/>
      <c r="B149" s="6"/>
      <c r="C149" s="7"/>
      <c r="D149" s="15" t="s">
        <v>483</v>
      </c>
      <c r="E149" s="17">
        <f>E218+E232</f>
        <v>0</v>
      </c>
      <c r="F149" s="17">
        <f>F218+F232</f>
        <v>0</v>
      </c>
      <c r="G149" s="25"/>
      <c r="H149" s="25"/>
      <c r="I149" s="25"/>
      <c r="J149" s="25"/>
      <c r="K149" s="25"/>
      <c r="L149" s="25"/>
      <c r="M149" s="25"/>
      <c r="N149" s="25"/>
      <c r="O149" s="25"/>
      <c r="P149" s="25">
        <f t="shared" ref="P149:P167" si="23">E149+J149</f>
        <v>0</v>
      </c>
    </row>
    <row r="150" spans="1:18" ht="25.5" x14ac:dyDescent="0.2">
      <c r="A150" s="41" t="s">
        <v>227</v>
      </c>
      <c r="B150" s="8"/>
      <c r="C150" s="7"/>
      <c r="D150" s="15" t="s">
        <v>8</v>
      </c>
      <c r="E150" s="13">
        <f t="shared" ref="E150:E193" si="24">F150+I150</f>
        <v>51362700</v>
      </c>
      <c r="F150" s="25">
        <f>F151+F153+F155+F160+F162+F169+F170+F171+F172+F174+F176+F178+F180+F182+F184+F186+F190+F194+F196+F198+F200+F202+F204+F207+F209+F210+F212+F213+F215+F217+F219+F222+F223+F228+F231+F234+F230</f>
        <v>51362700</v>
      </c>
      <c r="G150" s="25">
        <f>G151+G153+G155+G160+G162+G169+G170+G171+G172+G174+G176+G178+G180+G182+G184+G186+G190+G194+G196+G198+G200+G202+G204+G207+G209+G210+G212+G213+G215+G217+G219+G222+G223+G228+G231+G234</f>
        <v>29066000</v>
      </c>
      <c r="H150" s="25">
        <f>H151+H153+H155+H160+H162+H169+H170+H171+H172+H174+H176+H178+H180+H182+H184+H186+H190+H194+H196+H198+H200+H202+H204+H207+H209+H210+H212+H213+H215+H217+H219+H222+H223+H228+H231+H234</f>
        <v>505200</v>
      </c>
      <c r="I150" s="25">
        <f>I151+I153+I155+I160+I162+I169+I170+I171+I172+I174+I176+I178+I180+I182+I184+I186+I190+I194+I196+I198+I200+I202+I204+I207+I209+I210+I212+I213+I215+I217+I219+I222+I223+I228+I231+I234</f>
        <v>0</v>
      </c>
      <c r="J150" s="25">
        <f>J151+J209+J231</f>
        <v>975871</v>
      </c>
      <c r="K150" s="25">
        <f>K151+K231</f>
        <v>320000</v>
      </c>
      <c r="L150" s="25">
        <f>L209</f>
        <v>655871</v>
      </c>
      <c r="M150" s="25">
        <f>M209</f>
        <v>38353</v>
      </c>
      <c r="N150" s="25">
        <f>N209</f>
        <v>431800</v>
      </c>
      <c r="O150" s="25">
        <f>O151+O152+O159+O168+O173+O192+O206+O211+O214+O217+O219+O221+O223+O228+O230+O233+O225+O231</f>
        <v>320000</v>
      </c>
      <c r="P150" s="13">
        <f t="shared" si="23"/>
        <v>52338571</v>
      </c>
    </row>
    <row r="151" spans="1:18" ht="25.5" x14ac:dyDescent="0.2">
      <c r="A151" s="41" t="s">
        <v>228</v>
      </c>
      <c r="B151" s="4" t="s">
        <v>190</v>
      </c>
      <c r="C151" s="4" t="s">
        <v>116</v>
      </c>
      <c r="D151" s="14" t="s">
        <v>615</v>
      </c>
      <c r="E151" s="11">
        <f t="shared" si="24"/>
        <v>27652600</v>
      </c>
      <c r="F151" s="12">
        <f>27534000+95000+23600</f>
        <v>27652600</v>
      </c>
      <c r="G151" s="12">
        <v>21310000</v>
      </c>
      <c r="H151" s="12">
        <f>283000+23600</f>
        <v>306600</v>
      </c>
      <c r="I151" s="12"/>
      <c r="J151" s="11">
        <f t="shared" ref="J151:J193" si="25">L151+O151</f>
        <v>0</v>
      </c>
      <c r="K151" s="12"/>
      <c r="L151" s="12"/>
      <c r="M151" s="12"/>
      <c r="N151" s="12"/>
      <c r="O151" s="12">
        <f>K151</f>
        <v>0</v>
      </c>
      <c r="P151" s="13">
        <f t="shared" si="23"/>
        <v>27652600</v>
      </c>
    </row>
    <row r="152" spans="1:18" ht="38.25" hidden="1" x14ac:dyDescent="0.2">
      <c r="A152" s="41" t="s">
        <v>229</v>
      </c>
      <c r="B152" s="8" t="s">
        <v>146</v>
      </c>
      <c r="C152" s="20"/>
      <c r="D152" s="5" t="s">
        <v>93</v>
      </c>
      <c r="E152" s="11">
        <f t="shared" si="24"/>
        <v>0</v>
      </c>
      <c r="F152" s="12"/>
      <c r="G152" s="12"/>
      <c r="H152" s="12"/>
      <c r="I152" s="12">
        <f t="shared" ref="I152:O152" si="26">I153+I155</f>
        <v>0</v>
      </c>
      <c r="J152" s="12">
        <f t="shared" si="26"/>
        <v>0</v>
      </c>
      <c r="K152" s="12"/>
      <c r="L152" s="12"/>
      <c r="M152" s="12"/>
      <c r="N152" s="12"/>
      <c r="O152" s="12">
        <f t="shared" si="26"/>
        <v>0</v>
      </c>
      <c r="P152" s="13">
        <f t="shared" si="23"/>
        <v>0</v>
      </c>
    </row>
    <row r="153" spans="1:18" s="1" customFormat="1" ht="25.5" hidden="1" x14ac:dyDescent="0.2">
      <c r="A153" s="36" t="s">
        <v>231</v>
      </c>
      <c r="B153" s="18" t="s">
        <v>34</v>
      </c>
      <c r="C153" s="79" t="s">
        <v>118</v>
      </c>
      <c r="D153" s="80" t="s">
        <v>230</v>
      </c>
      <c r="E153" s="11">
        <f t="shared" si="24"/>
        <v>0</v>
      </c>
      <c r="F153" s="17"/>
      <c r="G153" s="17"/>
      <c r="H153" s="17"/>
      <c r="I153" s="17"/>
      <c r="J153" s="11">
        <f t="shared" si="25"/>
        <v>0</v>
      </c>
      <c r="K153" s="17"/>
      <c r="L153" s="17"/>
      <c r="M153" s="17"/>
      <c r="N153" s="17"/>
      <c r="O153" s="17"/>
      <c r="P153" s="13">
        <f t="shared" si="23"/>
        <v>0</v>
      </c>
    </row>
    <row r="154" spans="1:18" ht="66.75" hidden="1" customHeight="1" x14ac:dyDescent="0.2">
      <c r="A154" s="41"/>
      <c r="B154" s="8"/>
      <c r="C154" s="81"/>
      <c r="D154" s="5" t="s">
        <v>420</v>
      </c>
      <c r="E154" s="11">
        <f t="shared" si="24"/>
        <v>0</v>
      </c>
      <c r="F154" s="12"/>
      <c r="G154" s="12"/>
      <c r="H154" s="12"/>
      <c r="I154" s="12"/>
      <c r="J154" s="11">
        <f t="shared" si="25"/>
        <v>0</v>
      </c>
      <c r="K154" s="12"/>
      <c r="L154" s="12"/>
      <c r="M154" s="12"/>
      <c r="N154" s="12"/>
      <c r="O154" s="12"/>
      <c r="P154" s="13">
        <f t="shared" si="23"/>
        <v>0</v>
      </c>
    </row>
    <row r="155" spans="1:18" s="1" customFormat="1" ht="25.5" hidden="1" x14ac:dyDescent="0.2">
      <c r="A155" s="36" t="s">
        <v>232</v>
      </c>
      <c r="B155" s="18" t="s">
        <v>35</v>
      </c>
      <c r="C155" s="79" t="s">
        <v>55</v>
      </c>
      <c r="D155" s="19" t="s">
        <v>95</v>
      </c>
      <c r="E155" s="11">
        <f t="shared" si="24"/>
        <v>0</v>
      </c>
      <c r="F155" s="17"/>
      <c r="G155" s="17"/>
      <c r="H155" s="17"/>
      <c r="I155" s="17"/>
      <c r="J155" s="11">
        <f t="shared" si="25"/>
        <v>0</v>
      </c>
      <c r="K155" s="17"/>
      <c r="L155" s="17"/>
      <c r="M155" s="17"/>
      <c r="N155" s="17"/>
      <c r="O155" s="17"/>
      <c r="P155" s="13">
        <f t="shared" si="23"/>
        <v>0</v>
      </c>
    </row>
    <row r="156" spans="1:18" ht="67.5" hidden="1" customHeight="1" x14ac:dyDescent="0.2">
      <c r="A156" s="41"/>
      <c r="B156" s="8"/>
      <c r="C156" s="81"/>
      <c r="D156" s="5" t="s">
        <v>420</v>
      </c>
      <c r="E156" s="11">
        <f t="shared" si="24"/>
        <v>0</v>
      </c>
      <c r="F156" s="12"/>
      <c r="G156" s="12"/>
      <c r="H156" s="12"/>
      <c r="I156" s="12"/>
      <c r="J156" s="11">
        <f t="shared" si="25"/>
        <v>0</v>
      </c>
      <c r="K156" s="12"/>
      <c r="L156" s="12"/>
      <c r="M156" s="12"/>
      <c r="N156" s="12"/>
      <c r="O156" s="12"/>
      <c r="P156" s="13">
        <f t="shared" si="23"/>
        <v>0</v>
      </c>
    </row>
    <row r="157" spans="1:18" ht="25.5" hidden="1" x14ac:dyDescent="0.2">
      <c r="A157" s="41">
        <v>1513017</v>
      </c>
      <c r="B157" s="8" t="s">
        <v>56</v>
      </c>
      <c r="C157" s="20" t="s">
        <v>55</v>
      </c>
      <c r="D157" s="5" t="s">
        <v>57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8" ht="51" hidden="1" x14ac:dyDescent="0.2">
      <c r="A158" s="41"/>
      <c r="B158" s="8"/>
      <c r="C158" s="20"/>
      <c r="D158" s="5" t="s">
        <v>9</v>
      </c>
      <c r="E158" s="11">
        <f t="shared" si="24"/>
        <v>0</v>
      </c>
      <c r="F158" s="12"/>
      <c r="G158" s="12"/>
      <c r="H158" s="12"/>
      <c r="I158" s="12"/>
      <c r="J158" s="11">
        <f t="shared" si="25"/>
        <v>0</v>
      </c>
      <c r="K158" s="12"/>
      <c r="L158" s="12"/>
      <c r="M158" s="12"/>
      <c r="N158" s="12"/>
      <c r="O158" s="12"/>
      <c r="P158" s="13">
        <f t="shared" si="23"/>
        <v>0</v>
      </c>
    </row>
    <row r="159" spans="1:18" ht="25.5" hidden="1" x14ac:dyDescent="0.2">
      <c r="A159" s="41" t="s">
        <v>233</v>
      </c>
      <c r="B159" s="8" t="s">
        <v>147</v>
      </c>
      <c r="C159" s="20"/>
      <c r="D159" s="5" t="s">
        <v>96</v>
      </c>
      <c r="E159" s="11">
        <f t="shared" si="24"/>
        <v>0</v>
      </c>
      <c r="F159" s="12"/>
      <c r="G159" s="12"/>
      <c r="H159" s="12"/>
      <c r="I159" s="12">
        <f>I160+I162+I164</f>
        <v>0</v>
      </c>
      <c r="J159" s="11">
        <f t="shared" si="25"/>
        <v>0</v>
      </c>
      <c r="K159" s="12"/>
      <c r="L159" s="12"/>
      <c r="M159" s="12"/>
      <c r="N159" s="12"/>
      <c r="O159" s="12">
        <f>O160+O162+O164</f>
        <v>0</v>
      </c>
      <c r="P159" s="13">
        <f t="shared" si="23"/>
        <v>0</v>
      </c>
    </row>
    <row r="160" spans="1:18" s="1" customFormat="1" ht="25.5" hidden="1" x14ac:dyDescent="0.2">
      <c r="A160" s="36" t="s">
        <v>235</v>
      </c>
      <c r="B160" s="18" t="s">
        <v>36</v>
      </c>
      <c r="C160" s="79" t="s">
        <v>118</v>
      </c>
      <c r="D160" s="15" t="s">
        <v>234</v>
      </c>
      <c r="E160" s="11">
        <f t="shared" si="24"/>
        <v>0</v>
      </c>
      <c r="F160" s="17"/>
      <c r="G160" s="17"/>
      <c r="H160" s="17"/>
      <c r="I160" s="17"/>
      <c r="J160" s="11">
        <f t="shared" si="25"/>
        <v>0</v>
      </c>
      <c r="K160" s="17"/>
      <c r="L160" s="17"/>
      <c r="M160" s="17"/>
      <c r="N160" s="17"/>
      <c r="O160" s="17"/>
      <c r="P160" s="13">
        <f t="shared" si="23"/>
        <v>0</v>
      </c>
    </row>
    <row r="161" spans="1:16" ht="42.75" hidden="1" customHeight="1" x14ac:dyDescent="0.2">
      <c r="A161" s="41"/>
      <c r="B161" s="8"/>
      <c r="C161" s="81"/>
      <c r="D161" s="5" t="s">
        <v>421</v>
      </c>
      <c r="E161" s="11">
        <f t="shared" si="24"/>
        <v>0</v>
      </c>
      <c r="F161" s="12"/>
      <c r="G161" s="12"/>
      <c r="H161" s="12"/>
      <c r="I161" s="12"/>
      <c r="J161" s="11">
        <f t="shared" si="25"/>
        <v>0</v>
      </c>
      <c r="K161" s="12"/>
      <c r="L161" s="12"/>
      <c r="M161" s="12"/>
      <c r="N161" s="12"/>
      <c r="O161" s="12"/>
      <c r="P161" s="13">
        <f t="shared" si="23"/>
        <v>0</v>
      </c>
    </row>
    <row r="162" spans="1:16" s="1" customFormat="1" ht="25.5" hidden="1" x14ac:dyDescent="0.2">
      <c r="A162" s="36" t="s">
        <v>236</v>
      </c>
      <c r="B162" s="18" t="s">
        <v>37</v>
      </c>
      <c r="C162" s="79" t="s">
        <v>55</v>
      </c>
      <c r="D162" s="19" t="s">
        <v>97</v>
      </c>
      <c r="E162" s="11">
        <f t="shared" si="24"/>
        <v>0</v>
      </c>
      <c r="F162" s="17"/>
      <c r="G162" s="17"/>
      <c r="H162" s="17"/>
      <c r="I162" s="17"/>
      <c r="J162" s="11">
        <f t="shared" si="25"/>
        <v>0</v>
      </c>
      <c r="K162" s="17"/>
      <c r="L162" s="17"/>
      <c r="M162" s="17"/>
      <c r="N162" s="17"/>
      <c r="O162" s="17"/>
      <c r="P162" s="13">
        <f t="shared" si="23"/>
        <v>0</v>
      </c>
    </row>
    <row r="163" spans="1:16" ht="42" hidden="1" customHeight="1" x14ac:dyDescent="0.2">
      <c r="A163" s="41"/>
      <c r="B163" s="8"/>
      <c r="C163" s="81"/>
      <c r="D163" s="5" t="s">
        <v>421</v>
      </c>
      <c r="E163" s="11">
        <f t="shared" si="24"/>
        <v>0</v>
      </c>
      <c r="F163" s="12"/>
      <c r="G163" s="12"/>
      <c r="H163" s="12"/>
      <c r="I163" s="12"/>
      <c r="J163" s="11">
        <f t="shared" si="25"/>
        <v>0</v>
      </c>
      <c r="K163" s="12"/>
      <c r="L163" s="12"/>
      <c r="M163" s="12"/>
      <c r="N163" s="12"/>
      <c r="O163" s="12"/>
      <c r="P163" s="13">
        <f t="shared" si="23"/>
        <v>0</v>
      </c>
    </row>
    <row r="164" spans="1:16" s="1" customFormat="1" hidden="1" x14ac:dyDescent="0.2">
      <c r="A164" s="36" t="s">
        <v>238</v>
      </c>
      <c r="B164" s="18" t="s">
        <v>38</v>
      </c>
      <c r="C164" s="79" t="s">
        <v>55</v>
      </c>
      <c r="D164" s="19" t="s">
        <v>237</v>
      </c>
      <c r="E164" s="11">
        <f t="shared" si="24"/>
        <v>0</v>
      </c>
      <c r="F164" s="17"/>
      <c r="G164" s="17"/>
      <c r="H164" s="17"/>
      <c r="I164" s="17"/>
      <c r="J164" s="11">
        <f t="shared" si="25"/>
        <v>0</v>
      </c>
      <c r="K164" s="17"/>
      <c r="L164" s="17"/>
      <c r="M164" s="17"/>
      <c r="N164" s="17"/>
      <c r="O164" s="17"/>
      <c r="P164" s="13">
        <f t="shared" si="23"/>
        <v>0</v>
      </c>
    </row>
    <row r="165" spans="1:16" ht="38.25" hidden="1" x14ac:dyDescent="0.2">
      <c r="A165" s="41"/>
      <c r="B165" s="8"/>
      <c r="C165" s="81"/>
      <c r="D165" s="5" t="s">
        <v>24</v>
      </c>
      <c r="E165" s="11">
        <f t="shared" si="24"/>
        <v>0</v>
      </c>
      <c r="F165" s="12"/>
      <c r="G165" s="12"/>
      <c r="H165" s="12"/>
      <c r="I165" s="12"/>
      <c r="J165" s="11">
        <f t="shared" si="25"/>
        <v>0</v>
      </c>
      <c r="K165" s="12"/>
      <c r="L165" s="12"/>
      <c r="M165" s="12"/>
      <c r="N165" s="12"/>
      <c r="O165" s="12"/>
      <c r="P165" s="13">
        <f t="shared" si="23"/>
        <v>0</v>
      </c>
    </row>
    <row r="166" spans="1:16" ht="38.25" hidden="1" x14ac:dyDescent="0.2">
      <c r="A166" s="41">
        <v>1513028</v>
      </c>
      <c r="B166" s="8" t="s">
        <v>59</v>
      </c>
      <c r="C166" s="4" t="s">
        <v>55</v>
      </c>
      <c r="D166" s="23" t="s">
        <v>98</v>
      </c>
      <c r="E166" s="11">
        <f t="shared" si="24"/>
        <v>0</v>
      </c>
      <c r="F166" s="12"/>
      <c r="G166" s="12"/>
      <c r="H166" s="12"/>
      <c r="I166" s="12"/>
      <c r="J166" s="11">
        <f t="shared" si="25"/>
        <v>0</v>
      </c>
      <c r="K166" s="12"/>
      <c r="L166" s="12"/>
      <c r="M166" s="12"/>
      <c r="N166" s="12"/>
      <c r="O166" s="12"/>
      <c r="P166" s="13">
        <f t="shared" si="23"/>
        <v>0</v>
      </c>
    </row>
    <row r="167" spans="1:16" ht="38.25" hidden="1" x14ac:dyDescent="0.2">
      <c r="A167" s="41"/>
      <c r="B167" s="8"/>
      <c r="C167" s="4"/>
      <c r="D167" s="5" t="s">
        <v>24</v>
      </c>
      <c r="E167" s="11">
        <f t="shared" si="24"/>
        <v>0</v>
      </c>
      <c r="F167" s="12"/>
      <c r="G167" s="12"/>
      <c r="H167" s="12"/>
      <c r="I167" s="12">
        <f>I166</f>
        <v>0</v>
      </c>
      <c r="J167" s="11">
        <f t="shared" si="25"/>
        <v>0</v>
      </c>
      <c r="K167" s="12"/>
      <c r="L167" s="12"/>
      <c r="M167" s="12"/>
      <c r="N167" s="12"/>
      <c r="O167" s="12">
        <f>O166</f>
        <v>0</v>
      </c>
      <c r="P167" s="13">
        <f t="shared" si="23"/>
        <v>0</v>
      </c>
    </row>
    <row r="168" spans="1:16" ht="38.25" hidden="1" x14ac:dyDescent="0.2">
      <c r="A168" s="41" t="s">
        <v>240</v>
      </c>
      <c r="B168" s="8" t="s">
        <v>152</v>
      </c>
      <c r="C168" s="4"/>
      <c r="D168" s="5" t="s">
        <v>239</v>
      </c>
      <c r="E168" s="11">
        <f>SUM(E169:E172)</f>
        <v>796200</v>
      </c>
      <c r="F168" s="11"/>
      <c r="G168" s="11"/>
      <c r="H168" s="11"/>
      <c r="I168" s="11">
        <f>SUM(I169:I172)</f>
        <v>0</v>
      </c>
      <c r="J168" s="11">
        <f>SUM(J169:J172)</f>
        <v>0</v>
      </c>
      <c r="K168" s="11"/>
      <c r="L168" s="11"/>
      <c r="M168" s="11"/>
      <c r="N168" s="11"/>
      <c r="O168" s="11">
        <f>SUM(O169:O172)</f>
        <v>0</v>
      </c>
      <c r="P168" s="13">
        <f>SUM(P169:P172)</f>
        <v>796200</v>
      </c>
    </row>
    <row r="169" spans="1:16" x14ac:dyDescent="0.2">
      <c r="A169" s="41" t="s">
        <v>242</v>
      </c>
      <c r="B169" s="8" t="s">
        <v>153</v>
      </c>
      <c r="C169" s="4" t="s">
        <v>118</v>
      </c>
      <c r="D169" s="5" t="s">
        <v>241</v>
      </c>
      <c r="E169" s="11">
        <f>F169+I169</f>
        <v>184200</v>
      </c>
      <c r="F169" s="12">
        <v>184200</v>
      </c>
      <c r="G169" s="12"/>
      <c r="H169" s="12"/>
      <c r="I169" s="12"/>
      <c r="J169" s="11">
        <f>L169+O169</f>
        <v>0</v>
      </c>
      <c r="K169" s="12"/>
      <c r="L169" s="12"/>
      <c r="M169" s="12"/>
      <c r="N169" s="12"/>
      <c r="O169" s="12"/>
      <c r="P169" s="13">
        <f t="shared" ref="P169:P235" si="27">E169+J169</f>
        <v>184200</v>
      </c>
    </row>
    <row r="170" spans="1:16" x14ac:dyDescent="0.2">
      <c r="A170" s="41" t="s">
        <v>244</v>
      </c>
      <c r="B170" s="8" t="s">
        <v>243</v>
      </c>
      <c r="C170" s="4" t="s">
        <v>23</v>
      </c>
      <c r="D170" s="5" t="s">
        <v>155</v>
      </c>
      <c r="E170" s="11">
        <f>F170+I170</f>
        <v>12000</v>
      </c>
      <c r="F170" s="12">
        <v>12000</v>
      </c>
      <c r="G170" s="12"/>
      <c r="H170" s="12"/>
      <c r="I170" s="12"/>
      <c r="J170" s="11">
        <f>L170+O170</f>
        <v>0</v>
      </c>
      <c r="K170" s="12"/>
      <c r="L170" s="12"/>
      <c r="M170" s="12"/>
      <c r="N170" s="12"/>
      <c r="O170" s="12"/>
      <c r="P170" s="13">
        <f t="shared" si="27"/>
        <v>12000</v>
      </c>
    </row>
    <row r="171" spans="1:16" ht="25.5" hidden="1" x14ac:dyDescent="0.2">
      <c r="A171" s="41" t="s">
        <v>246</v>
      </c>
      <c r="B171" s="8" t="s">
        <v>154</v>
      </c>
      <c r="C171" s="4" t="s">
        <v>23</v>
      </c>
      <c r="D171" s="5" t="s">
        <v>245</v>
      </c>
      <c r="E171" s="11">
        <f>F171+I171</f>
        <v>0</v>
      </c>
      <c r="F171" s="12"/>
      <c r="G171" s="12"/>
      <c r="H171" s="12"/>
      <c r="I171" s="12"/>
      <c r="J171" s="11">
        <f>L171+O171</f>
        <v>0</v>
      </c>
      <c r="K171" s="12"/>
      <c r="L171" s="12"/>
      <c r="M171" s="12"/>
      <c r="N171" s="12"/>
      <c r="O171" s="12"/>
      <c r="P171" s="13">
        <f t="shared" si="27"/>
        <v>0</v>
      </c>
    </row>
    <row r="172" spans="1:16" ht="25.5" x14ac:dyDescent="0.2">
      <c r="A172" s="41" t="s">
        <v>248</v>
      </c>
      <c r="B172" s="8" t="s">
        <v>247</v>
      </c>
      <c r="C172" s="4" t="s">
        <v>23</v>
      </c>
      <c r="D172" s="5" t="s">
        <v>156</v>
      </c>
      <c r="E172" s="11">
        <f>F172+I172</f>
        <v>600000</v>
      </c>
      <c r="F172" s="12">
        <v>600000</v>
      </c>
      <c r="G172" s="12"/>
      <c r="H172" s="12"/>
      <c r="I172" s="12"/>
      <c r="J172" s="11">
        <f>L172+O172</f>
        <v>0</v>
      </c>
      <c r="K172" s="12"/>
      <c r="L172" s="12"/>
      <c r="M172" s="12"/>
      <c r="N172" s="12"/>
      <c r="O172" s="12"/>
      <c r="P172" s="13">
        <f t="shared" si="27"/>
        <v>600000</v>
      </c>
    </row>
    <row r="173" spans="1:16" ht="25.5" hidden="1" x14ac:dyDescent="0.2">
      <c r="A173" s="41" t="s">
        <v>249</v>
      </c>
      <c r="B173" s="8" t="s">
        <v>148</v>
      </c>
      <c r="C173" s="20"/>
      <c r="D173" s="14" t="s">
        <v>425</v>
      </c>
      <c r="E173" s="11">
        <f t="shared" si="24"/>
        <v>0</v>
      </c>
      <c r="F173" s="12"/>
      <c r="G173" s="12"/>
      <c r="H173" s="12"/>
      <c r="I173" s="12">
        <f>I174+I176+I178+I180+I182+I184+I186+I188+I190</f>
        <v>0</v>
      </c>
      <c r="J173" s="11">
        <f t="shared" si="25"/>
        <v>0</v>
      </c>
      <c r="K173" s="12"/>
      <c r="L173" s="12"/>
      <c r="M173" s="12"/>
      <c r="N173" s="12"/>
      <c r="O173" s="12">
        <f>O174+O176+O178+O180+O182+O184+O186+O188+O190</f>
        <v>0</v>
      </c>
      <c r="P173" s="13">
        <f t="shared" si="27"/>
        <v>0</v>
      </c>
    </row>
    <row r="174" spans="1:16" hidden="1" x14ac:dyDescent="0.2">
      <c r="A174" s="41" t="s">
        <v>251</v>
      </c>
      <c r="B174" s="8" t="s">
        <v>39</v>
      </c>
      <c r="C174" s="20" t="s">
        <v>0</v>
      </c>
      <c r="D174" s="5" t="s">
        <v>250</v>
      </c>
      <c r="E174" s="11">
        <f t="shared" si="24"/>
        <v>0</v>
      </c>
      <c r="F174" s="12"/>
      <c r="G174" s="12"/>
      <c r="H174" s="12"/>
      <c r="I174" s="12"/>
      <c r="J174" s="11">
        <f t="shared" si="25"/>
        <v>0</v>
      </c>
      <c r="K174" s="12"/>
      <c r="L174" s="12"/>
      <c r="M174" s="12"/>
      <c r="N174" s="12"/>
      <c r="O174" s="12"/>
      <c r="P174" s="13">
        <f t="shared" si="27"/>
        <v>0</v>
      </c>
    </row>
    <row r="175" spans="1:16" ht="114.75" hidden="1" x14ac:dyDescent="0.2">
      <c r="A175" s="41"/>
      <c r="B175" s="8"/>
      <c r="C175" s="20"/>
      <c r="D175" s="5" t="s">
        <v>422</v>
      </c>
      <c r="E175" s="11">
        <f t="shared" si="24"/>
        <v>0</v>
      </c>
      <c r="F175" s="12"/>
      <c r="G175" s="12"/>
      <c r="H175" s="12"/>
      <c r="I175" s="12"/>
      <c r="J175" s="11">
        <f t="shared" si="25"/>
        <v>0</v>
      </c>
      <c r="K175" s="12"/>
      <c r="L175" s="12"/>
      <c r="M175" s="12"/>
      <c r="N175" s="12"/>
      <c r="O175" s="12"/>
      <c r="P175" s="13">
        <f t="shared" si="27"/>
        <v>0</v>
      </c>
    </row>
    <row r="176" spans="1:16" hidden="1" x14ac:dyDescent="0.2">
      <c r="A176" s="41" t="s">
        <v>252</v>
      </c>
      <c r="B176" s="8" t="s">
        <v>40</v>
      </c>
      <c r="C176" s="20" t="s">
        <v>0</v>
      </c>
      <c r="D176" s="21" t="s">
        <v>103</v>
      </c>
      <c r="E176" s="11">
        <f t="shared" si="24"/>
        <v>0</v>
      </c>
      <c r="F176" s="12"/>
      <c r="G176" s="12"/>
      <c r="H176" s="12"/>
      <c r="I176" s="12"/>
      <c r="J176" s="11">
        <f t="shared" si="25"/>
        <v>0</v>
      </c>
      <c r="K176" s="12"/>
      <c r="L176" s="12"/>
      <c r="M176" s="12"/>
      <c r="N176" s="12"/>
      <c r="O176" s="12"/>
      <c r="P176" s="13">
        <f t="shared" si="27"/>
        <v>0</v>
      </c>
    </row>
    <row r="177" spans="1:16" ht="114.75" hidden="1" x14ac:dyDescent="0.2">
      <c r="A177" s="41"/>
      <c r="B177" s="8"/>
      <c r="C177" s="20"/>
      <c r="D177" s="5" t="s">
        <v>422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idden="1" x14ac:dyDescent="0.2">
      <c r="A178" s="41" t="s">
        <v>253</v>
      </c>
      <c r="B178" s="8" t="s">
        <v>41</v>
      </c>
      <c r="C178" s="20" t="s">
        <v>0</v>
      </c>
      <c r="D178" s="21" t="s">
        <v>99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t="114.75" hidden="1" x14ac:dyDescent="0.2">
      <c r="A179" s="41"/>
      <c r="B179" s="8"/>
      <c r="C179" s="20"/>
      <c r="D179" s="5" t="s">
        <v>422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idden="1" x14ac:dyDescent="0.2">
      <c r="A180" s="41" t="s">
        <v>254</v>
      </c>
      <c r="B180" s="8" t="s">
        <v>42</v>
      </c>
      <c r="C180" s="20" t="s">
        <v>0</v>
      </c>
      <c r="D180" s="23" t="s">
        <v>100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422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255</v>
      </c>
      <c r="B182" s="8" t="s">
        <v>43</v>
      </c>
      <c r="C182" s="20" t="s">
        <v>0</v>
      </c>
      <c r="D182" s="5" t="s">
        <v>101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422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idden="1" x14ac:dyDescent="0.2">
      <c r="A184" s="41" t="s">
        <v>256</v>
      </c>
      <c r="B184" s="8" t="s">
        <v>44</v>
      </c>
      <c r="C184" s="20" t="s">
        <v>0</v>
      </c>
      <c r="D184" s="5" t="s">
        <v>102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/>
      <c r="D185" s="5" t="s">
        <v>422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idden="1" x14ac:dyDescent="0.2">
      <c r="A186" s="41" t="s">
        <v>257</v>
      </c>
      <c r="B186" s="8" t="s">
        <v>45</v>
      </c>
      <c r="C186" s="20" t="s">
        <v>0</v>
      </c>
      <c r="D186" s="47" t="s">
        <v>426</v>
      </c>
      <c r="E186" s="11">
        <f>F186+I186</f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t="114.75" hidden="1" x14ac:dyDescent="0.2">
      <c r="A187" s="41"/>
      <c r="B187" s="8"/>
      <c r="C187" s="20"/>
      <c r="D187" s="5" t="s">
        <v>422</v>
      </c>
      <c r="E187" s="11">
        <f>F187+I187</f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idden="1" x14ac:dyDescent="0.2">
      <c r="A188" s="41" t="s">
        <v>259</v>
      </c>
      <c r="B188" s="8" t="s">
        <v>46</v>
      </c>
      <c r="C188" s="20" t="s">
        <v>0</v>
      </c>
      <c r="D188" s="5" t="s">
        <v>258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422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t="20.25" hidden="1" customHeight="1" x14ac:dyDescent="0.2">
      <c r="A190" s="41" t="s">
        <v>260</v>
      </c>
      <c r="B190" s="8" t="s">
        <v>47</v>
      </c>
      <c r="C190" s="20" t="s">
        <v>0</v>
      </c>
      <c r="D190" s="5" t="s">
        <v>557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 t="s">
        <v>61</v>
      </c>
      <c r="D191" s="5" t="s">
        <v>422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t="76.5" hidden="1" x14ac:dyDescent="0.2">
      <c r="A192" s="41" t="s">
        <v>261</v>
      </c>
      <c r="B192" s="8" t="s">
        <v>48</v>
      </c>
      <c r="C192" s="20"/>
      <c r="D192" s="5" t="s">
        <v>449</v>
      </c>
      <c r="E192" s="11">
        <f t="shared" si="24"/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idden="1" x14ac:dyDescent="0.2">
      <c r="A193" s="41"/>
      <c r="B193" s="8"/>
      <c r="C193" s="20"/>
      <c r="D193" s="5"/>
      <c r="E193" s="11">
        <f t="shared" si="24"/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t="25.5" hidden="1" x14ac:dyDescent="0.2">
      <c r="A194" s="41" t="s">
        <v>438</v>
      </c>
      <c r="B194" s="8" t="s">
        <v>433</v>
      </c>
      <c r="C194" s="20" t="s">
        <v>58</v>
      </c>
      <c r="D194" s="5" t="s">
        <v>443</v>
      </c>
      <c r="E194" s="11">
        <f>F194+J194</f>
        <v>0</v>
      </c>
      <c r="F194" s="12"/>
      <c r="G194" s="12"/>
      <c r="H194" s="12"/>
      <c r="I194" s="12"/>
      <c r="J194" s="11"/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422</v>
      </c>
      <c r="E195" s="11">
        <f t="shared" ref="E195:E203" si="28">F195+J195</f>
        <v>0</v>
      </c>
      <c r="F195" s="12"/>
      <c r="G195" s="12"/>
      <c r="H195" s="12"/>
      <c r="I195" s="12"/>
      <c r="J195" s="11"/>
      <c r="K195" s="12"/>
      <c r="L195" s="12"/>
      <c r="M195" s="12"/>
      <c r="N195" s="12"/>
      <c r="O195" s="12"/>
      <c r="P195" s="13">
        <f t="shared" si="27"/>
        <v>0</v>
      </c>
    </row>
    <row r="196" spans="1:16" ht="25.5" hidden="1" x14ac:dyDescent="0.2">
      <c r="A196" s="41" t="s">
        <v>439</v>
      </c>
      <c r="B196" s="8" t="s">
        <v>434</v>
      </c>
      <c r="C196" s="20" t="s">
        <v>58</v>
      </c>
      <c r="D196" s="5" t="s">
        <v>444</v>
      </c>
      <c r="E196" s="11">
        <f t="shared" si="28"/>
        <v>0</v>
      </c>
      <c r="F196" s="12"/>
      <c r="G196" s="12"/>
      <c r="H196" s="12"/>
      <c r="I196" s="12"/>
      <c r="J196" s="11"/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/>
      <c r="D197" s="5" t="s">
        <v>422</v>
      </c>
      <c r="E197" s="11">
        <f t="shared" si="28"/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25.5" hidden="1" x14ac:dyDescent="0.2">
      <c r="A198" s="41" t="s">
        <v>440</v>
      </c>
      <c r="B198" s="8" t="s">
        <v>435</v>
      </c>
      <c r="C198" s="20" t="s">
        <v>58</v>
      </c>
      <c r="D198" s="5" t="s">
        <v>445</v>
      </c>
      <c r="E198" s="11">
        <f t="shared" si="28"/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114.75" hidden="1" x14ac:dyDescent="0.2">
      <c r="A199" s="41"/>
      <c r="B199" s="8"/>
      <c r="C199" s="20"/>
      <c r="D199" s="5" t="s">
        <v>422</v>
      </c>
      <c r="E199" s="11">
        <f t="shared" si="28"/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441</v>
      </c>
      <c r="B200" s="8" t="s">
        <v>436</v>
      </c>
      <c r="C200" s="20" t="s">
        <v>58</v>
      </c>
      <c r="D200" s="5" t="s">
        <v>446</v>
      </c>
      <c r="E200" s="11">
        <f t="shared" si="28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114.75" hidden="1" x14ac:dyDescent="0.2">
      <c r="A201" s="41"/>
      <c r="B201" s="8"/>
      <c r="C201" s="20"/>
      <c r="D201" s="5" t="s">
        <v>422</v>
      </c>
      <c r="E201" s="11">
        <f t="shared" si="28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38.25" hidden="1" x14ac:dyDescent="0.2">
      <c r="A202" s="41" t="s">
        <v>442</v>
      </c>
      <c r="B202" s="8" t="s">
        <v>437</v>
      </c>
      <c r="C202" s="20" t="s">
        <v>58</v>
      </c>
      <c r="D202" s="5" t="s">
        <v>447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114.75" hidden="1" x14ac:dyDescent="0.2">
      <c r="A203" s="41"/>
      <c r="B203" s="8"/>
      <c r="C203" s="20"/>
      <c r="D203" s="5" t="s">
        <v>422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89.25" hidden="1" x14ac:dyDescent="0.2">
      <c r="A204" s="41" t="s">
        <v>554</v>
      </c>
      <c r="B204" s="8" t="s">
        <v>555</v>
      </c>
      <c r="C204" s="20" t="s">
        <v>0</v>
      </c>
      <c r="D204" s="5" t="s">
        <v>558</v>
      </c>
      <c r="E204" s="11">
        <f>F204</f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114.75" hidden="1" x14ac:dyDescent="0.2">
      <c r="A205" s="41"/>
      <c r="B205" s="8"/>
      <c r="C205" s="20"/>
      <c r="D205" s="5" t="s">
        <v>422</v>
      </c>
      <c r="E205" s="11">
        <f>F205</f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25.5" hidden="1" x14ac:dyDescent="0.2">
      <c r="A206" s="41" t="s">
        <v>271</v>
      </c>
      <c r="B206" s="20" t="s">
        <v>150</v>
      </c>
      <c r="C206" s="20" t="s">
        <v>58</v>
      </c>
      <c r="D206" s="21" t="s">
        <v>401</v>
      </c>
      <c r="E206" s="11">
        <f>F206</f>
        <v>0</v>
      </c>
      <c r="F206" s="12"/>
      <c r="G206" s="12"/>
      <c r="H206" s="12"/>
      <c r="I206" s="12">
        <f>SUM(I209:I210)</f>
        <v>0</v>
      </c>
      <c r="J206" s="11">
        <f>L206+O206</f>
        <v>0</v>
      </c>
      <c r="K206" s="12"/>
      <c r="L206" s="12"/>
      <c r="M206" s="12"/>
      <c r="N206" s="12"/>
      <c r="O206" s="12">
        <f>O209+O210</f>
        <v>0</v>
      </c>
      <c r="P206" s="13">
        <f t="shared" si="27"/>
        <v>0</v>
      </c>
    </row>
    <row r="207" spans="1:16" hidden="1" x14ac:dyDescent="0.2">
      <c r="A207" s="41" t="s">
        <v>566</v>
      </c>
      <c r="B207" s="20" t="s">
        <v>568</v>
      </c>
      <c r="C207" s="20" t="s">
        <v>0</v>
      </c>
      <c r="D207" s="21" t="s">
        <v>567</v>
      </c>
      <c r="E207" s="11">
        <f>F207</f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114.75" hidden="1" x14ac:dyDescent="0.2">
      <c r="A208" s="41"/>
      <c r="B208" s="20"/>
      <c r="C208" s="20"/>
      <c r="D208" s="5" t="s">
        <v>422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27.6" customHeight="1" x14ac:dyDescent="0.2">
      <c r="A209" s="41" t="s">
        <v>272</v>
      </c>
      <c r="B209" s="4" t="s">
        <v>50</v>
      </c>
      <c r="C209" s="4" t="s">
        <v>60</v>
      </c>
      <c r="D209" s="5" t="s">
        <v>270</v>
      </c>
      <c r="E209" s="11">
        <f>F209+I209</f>
        <v>7807300</v>
      </c>
      <c r="F209" s="12">
        <f>7805000+2300</f>
        <v>7807300</v>
      </c>
      <c r="G209" s="12">
        <v>5610000</v>
      </c>
      <c r="H209" s="12">
        <f>129700+2300</f>
        <v>132000</v>
      </c>
      <c r="I209" s="12"/>
      <c r="J209" s="11">
        <f>L209+O209</f>
        <v>655871</v>
      </c>
      <c r="K209" s="12"/>
      <c r="L209" s="12">
        <v>655871</v>
      </c>
      <c r="M209" s="12">
        <v>38353</v>
      </c>
      <c r="N209" s="12">
        <v>431800</v>
      </c>
      <c r="O209" s="12">
        <f>K209</f>
        <v>0</v>
      </c>
      <c r="P209" s="13">
        <f t="shared" si="27"/>
        <v>8463171</v>
      </c>
    </row>
    <row r="210" spans="1:16" hidden="1" x14ac:dyDescent="0.2">
      <c r="A210" s="41" t="s">
        <v>273</v>
      </c>
      <c r="B210" s="4" t="s">
        <v>51</v>
      </c>
      <c r="C210" s="4" t="s">
        <v>58</v>
      </c>
      <c r="D210" s="5" t="s">
        <v>402</v>
      </c>
      <c r="E210" s="11">
        <f>F210+I210</f>
        <v>0</v>
      </c>
      <c r="F210" s="12"/>
      <c r="G210" s="12"/>
      <c r="H210" s="12"/>
      <c r="I210" s="12"/>
      <c r="J210" s="11">
        <f>L210+O210</f>
        <v>0</v>
      </c>
      <c r="K210" s="12"/>
      <c r="L210" s="12"/>
      <c r="M210" s="12"/>
      <c r="N210" s="12"/>
      <c r="O210" s="12">
        <f>K210</f>
        <v>0</v>
      </c>
      <c r="P210" s="13">
        <f t="shared" si="27"/>
        <v>0</v>
      </c>
    </row>
    <row r="211" spans="1:16" hidden="1" x14ac:dyDescent="0.2">
      <c r="A211" s="41" t="s">
        <v>263</v>
      </c>
      <c r="B211" s="4" t="s">
        <v>262</v>
      </c>
      <c r="C211" s="4"/>
      <c r="D211" s="47" t="s">
        <v>12</v>
      </c>
      <c r="E211" s="11">
        <f t="shared" ref="E211:E227" si="29">F211+I211</f>
        <v>0</v>
      </c>
      <c r="F211" s="12"/>
      <c r="G211" s="12"/>
      <c r="H211" s="12"/>
      <c r="I211" s="12"/>
      <c r="J211" s="11">
        <f t="shared" ref="J211:J227" si="30">L211+O211</f>
        <v>0</v>
      </c>
      <c r="K211" s="12"/>
      <c r="L211" s="12"/>
      <c r="M211" s="12"/>
      <c r="N211" s="12"/>
      <c r="O211" s="12">
        <f>SUM(O212:O213)</f>
        <v>0</v>
      </c>
      <c r="P211" s="13">
        <f t="shared" si="27"/>
        <v>0</v>
      </c>
    </row>
    <row r="212" spans="1:16" x14ac:dyDescent="0.2">
      <c r="A212" s="41" t="s">
        <v>265</v>
      </c>
      <c r="B212" s="20" t="s">
        <v>264</v>
      </c>
      <c r="C212" s="20" t="s">
        <v>0</v>
      </c>
      <c r="D212" s="14" t="s">
        <v>619</v>
      </c>
      <c r="E212" s="11">
        <f t="shared" si="29"/>
        <v>2711600</v>
      </c>
      <c r="F212" s="12">
        <f>2706000+5600</f>
        <v>2711600</v>
      </c>
      <c r="G212" s="12">
        <v>2086000</v>
      </c>
      <c r="H212" s="12">
        <f>61000+5600</f>
        <v>66600</v>
      </c>
      <c r="I212" s="12"/>
      <c r="J212" s="11">
        <f t="shared" si="30"/>
        <v>0</v>
      </c>
      <c r="K212" s="12"/>
      <c r="L212" s="12"/>
      <c r="M212" s="12"/>
      <c r="N212" s="12"/>
      <c r="O212" s="12">
        <f>K212</f>
        <v>0</v>
      </c>
      <c r="P212" s="13">
        <f t="shared" si="27"/>
        <v>2711600</v>
      </c>
    </row>
    <row r="213" spans="1:16" hidden="1" x14ac:dyDescent="0.2">
      <c r="A213" s="41" t="s">
        <v>388</v>
      </c>
      <c r="B213" s="20" t="s">
        <v>387</v>
      </c>
      <c r="C213" s="20" t="s">
        <v>0</v>
      </c>
      <c r="D213" s="14" t="s">
        <v>389</v>
      </c>
      <c r="E213" s="11">
        <f t="shared" si="29"/>
        <v>0</v>
      </c>
      <c r="F213" s="12"/>
      <c r="G213" s="12"/>
      <c r="H213" s="12"/>
      <c r="I213" s="12"/>
      <c r="J213" s="11">
        <f t="shared" si="30"/>
        <v>0</v>
      </c>
      <c r="K213" s="12"/>
      <c r="L213" s="12"/>
      <c r="M213" s="12"/>
      <c r="N213" s="12"/>
      <c r="O213" s="12"/>
      <c r="P213" s="13">
        <f t="shared" si="27"/>
        <v>0</v>
      </c>
    </row>
    <row r="214" spans="1:16" hidden="1" x14ac:dyDescent="0.2">
      <c r="A214" s="41" t="s">
        <v>266</v>
      </c>
      <c r="B214" s="20" t="s">
        <v>149</v>
      </c>
      <c r="C214" s="20"/>
      <c r="D214" s="23" t="s">
        <v>143</v>
      </c>
      <c r="E214" s="11">
        <f t="shared" si="29"/>
        <v>0</v>
      </c>
      <c r="F214" s="12"/>
      <c r="G214" s="12"/>
      <c r="H214" s="12"/>
      <c r="I214" s="12">
        <f>I215</f>
        <v>0</v>
      </c>
      <c r="J214" s="11">
        <f t="shared" si="30"/>
        <v>0</v>
      </c>
      <c r="K214" s="12"/>
      <c r="L214" s="12"/>
      <c r="M214" s="12"/>
      <c r="N214" s="12"/>
      <c r="O214" s="12">
        <f>O215</f>
        <v>0</v>
      </c>
      <c r="P214" s="13">
        <f t="shared" si="27"/>
        <v>0</v>
      </c>
    </row>
    <row r="215" spans="1:16" ht="15.75" hidden="1" x14ac:dyDescent="0.25">
      <c r="A215" s="41" t="s">
        <v>268</v>
      </c>
      <c r="B215" s="20" t="s">
        <v>267</v>
      </c>
      <c r="C215" s="20" t="s">
        <v>0</v>
      </c>
      <c r="D215" s="46" t="s">
        <v>136</v>
      </c>
      <c r="E215" s="11">
        <f t="shared" si="29"/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/>
      <c r="P215" s="13">
        <f t="shared" si="27"/>
        <v>0</v>
      </c>
    </row>
    <row r="216" spans="1:16" hidden="1" x14ac:dyDescent="0.2">
      <c r="A216" s="41">
        <v>1513500</v>
      </c>
      <c r="B216" s="4" t="s">
        <v>22</v>
      </c>
      <c r="C216" s="4" t="s">
        <v>0</v>
      </c>
      <c r="D216" s="5" t="s">
        <v>130</v>
      </c>
      <c r="E216" s="11">
        <f t="shared" si="29"/>
        <v>0</v>
      </c>
      <c r="F216" s="12"/>
      <c r="G216" s="12"/>
      <c r="H216" s="12"/>
      <c r="I216" s="12"/>
      <c r="J216" s="11">
        <f t="shared" si="30"/>
        <v>0</v>
      </c>
      <c r="K216" s="12"/>
      <c r="L216" s="12"/>
      <c r="M216" s="12"/>
      <c r="N216" s="12"/>
      <c r="O216" s="12"/>
      <c r="P216" s="13">
        <f t="shared" si="27"/>
        <v>0</v>
      </c>
    </row>
    <row r="217" spans="1:16" ht="38.25" x14ac:dyDescent="0.2">
      <c r="A217" s="41" t="s">
        <v>269</v>
      </c>
      <c r="B217" s="20" t="s">
        <v>30</v>
      </c>
      <c r="C217" s="20" t="s">
        <v>0</v>
      </c>
      <c r="D217" s="21" t="s">
        <v>86</v>
      </c>
      <c r="E217" s="11">
        <f t="shared" si="29"/>
        <v>1000000</v>
      </c>
      <c r="F217" s="12">
        <v>1000000</v>
      </c>
      <c r="G217" s="12"/>
      <c r="H217" s="12"/>
      <c r="I217" s="12"/>
      <c r="J217" s="11">
        <f t="shared" si="30"/>
        <v>0</v>
      </c>
      <c r="K217" s="12"/>
      <c r="L217" s="12"/>
      <c r="M217" s="12"/>
      <c r="N217" s="12"/>
      <c r="O217" s="12"/>
      <c r="P217" s="13">
        <f t="shared" si="27"/>
        <v>1000000</v>
      </c>
    </row>
    <row r="218" spans="1:16" hidden="1" x14ac:dyDescent="0.2">
      <c r="A218" s="41"/>
      <c r="B218" s="20"/>
      <c r="C218" s="20"/>
      <c r="D218" s="21" t="s">
        <v>483</v>
      </c>
      <c r="E218" s="11"/>
      <c r="F218" s="12"/>
      <c r="G218" s="12"/>
      <c r="H218" s="12"/>
      <c r="I218" s="12"/>
      <c r="J218" s="11"/>
      <c r="K218" s="12"/>
      <c r="L218" s="12"/>
      <c r="M218" s="12"/>
      <c r="N218" s="12"/>
      <c r="O218" s="12"/>
      <c r="P218" s="13">
        <f t="shared" si="27"/>
        <v>0</v>
      </c>
    </row>
    <row r="219" spans="1:16" ht="39.75" customHeight="1" x14ac:dyDescent="0.2">
      <c r="A219" s="41" t="s">
        <v>274</v>
      </c>
      <c r="B219" s="4" t="s">
        <v>49</v>
      </c>
      <c r="C219" s="4" t="s">
        <v>58</v>
      </c>
      <c r="D219" s="5" t="s">
        <v>403</v>
      </c>
      <c r="E219" s="11">
        <f t="shared" si="29"/>
        <v>1000000</v>
      </c>
      <c r="F219" s="12">
        <v>1000000</v>
      </c>
      <c r="G219" s="12"/>
      <c r="H219" s="12"/>
      <c r="I219" s="12">
        <f>SUM(I220)</f>
        <v>0</v>
      </c>
      <c r="J219" s="11">
        <f t="shared" si="30"/>
        <v>0</v>
      </c>
      <c r="K219" s="12"/>
      <c r="L219" s="12"/>
      <c r="M219" s="12"/>
      <c r="N219" s="12"/>
      <c r="O219" s="12">
        <f>SUM(O220)</f>
        <v>0</v>
      </c>
      <c r="P219" s="13">
        <f t="shared" si="27"/>
        <v>1000000</v>
      </c>
    </row>
    <row r="220" spans="1:16" ht="25.5" hidden="1" customHeight="1" x14ac:dyDescent="0.2">
      <c r="A220" s="41" t="s">
        <v>404</v>
      </c>
      <c r="B220" s="4" t="s">
        <v>275</v>
      </c>
      <c r="C220" s="4" t="s">
        <v>58</v>
      </c>
      <c r="D220" s="5" t="s">
        <v>270</v>
      </c>
      <c r="E220" s="11">
        <f t="shared" si="29"/>
        <v>0</v>
      </c>
      <c r="F220" s="12"/>
      <c r="G220" s="12"/>
      <c r="H220" s="12"/>
      <c r="I220" s="12"/>
      <c r="J220" s="11">
        <f t="shared" si="30"/>
        <v>0</v>
      </c>
      <c r="K220" s="12"/>
      <c r="L220" s="12"/>
      <c r="M220" s="12"/>
      <c r="N220" s="12"/>
      <c r="O220" s="12"/>
      <c r="P220" s="13">
        <f t="shared" si="27"/>
        <v>0</v>
      </c>
    </row>
    <row r="221" spans="1:16" hidden="1" x14ac:dyDescent="0.2">
      <c r="A221" s="41" t="s">
        <v>405</v>
      </c>
      <c r="B221" s="4" t="s">
        <v>406</v>
      </c>
      <c r="C221" s="4"/>
      <c r="D221" s="5" t="s">
        <v>16</v>
      </c>
      <c r="E221" s="11">
        <f>E222</f>
        <v>600000</v>
      </c>
      <c r="F221" s="11"/>
      <c r="G221" s="11"/>
      <c r="H221" s="11"/>
      <c r="I221" s="11">
        <f t="shared" ref="I221:O221" si="31">I222</f>
        <v>0</v>
      </c>
      <c r="J221" s="11">
        <f t="shared" si="31"/>
        <v>0</v>
      </c>
      <c r="K221" s="11"/>
      <c r="L221" s="11"/>
      <c r="M221" s="11"/>
      <c r="N221" s="11"/>
      <c r="O221" s="11">
        <f t="shared" si="31"/>
        <v>0</v>
      </c>
      <c r="P221" s="13">
        <f t="shared" si="27"/>
        <v>600000</v>
      </c>
    </row>
    <row r="222" spans="1:16" ht="25.5" x14ac:dyDescent="0.2">
      <c r="A222" s="41" t="s">
        <v>407</v>
      </c>
      <c r="B222" s="4" t="s">
        <v>408</v>
      </c>
      <c r="C222" s="4" t="s">
        <v>118</v>
      </c>
      <c r="D222" s="5" t="s">
        <v>620</v>
      </c>
      <c r="E222" s="11">
        <f>F222+I222</f>
        <v>600000</v>
      </c>
      <c r="F222" s="12">
        <v>600000</v>
      </c>
      <c r="G222" s="12"/>
      <c r="H222" s="12"/>
      <c r="I222" s="12"/>
      <c r="J222" s="11">
        <f>L222+O222</f>
        <v>0</v>
      </c>
      <c r="K222" s="12"/>
      <c r="L222" s="12"/>
      <c r="M222" s="12"/>
      <c r="N222" s="12"/>
      <c r="O222" s="12">
        <f>K222</f>
        <v>0</v>
      </c>
      <c r="P222" s="13">
        <f t="shared" si="27"/>
        <v>600000</v>
      </c>
    </row>
    <row r="223" spans="1:16" x14ac:dyDescent="0.2">
      <c r="A223" s="41" t="s">
        <v>409</v>
      </c>
      <c r="B223" s="20" t="s">
        <v>410</v>
      </c>
      <c r="C223" s="20" t="s">
        <v>14</v>
      </c>
      <c r="D223" s="14" t="s">
        <v>15</v>
      </c>
      <c r="E223" s="11">
        <f t="shared" si="29"/>
        <v>200000</v>
      </c>
      <c r="F223" s="12">
        <v>200000</v>
      </c>
      <c r="G223" s="12">
        <v>60000</v>
      </c>
      <c r="H223" s="12"/>
      <c r="I223" s="12"/>
      <c r="J223" s="11">
        <f t="shared" si="30"/>
        <v>0</v>
      </c>
      <c r="K223" s="12"/>
      <c r="L223" s="12"/>
      <c r="M223" s="12"/>
      <c r="N223" s="12"/>
      <c r="O223" s="12"/>
      <c r="P223" s="13">
        <f t="shared" si="27"/>
        <v>200000</v>
      </c>
    </row>
    <row r="224" spans="1:16" hidden="1" x14ac:dyDescent="0.2">
      <c r="A224" s="41">
        <v>1518600</v>
      </c>
      <c r="B224" s="8" t="s">
        <v>27</v>
      </c>
      <c r="C224" s="4" t="s">
        <v>129</v>
      </c>
      <c r="D224" s="5" t="s">
        <v>130</v>
      </c>
      <c r="E224" s="11">
        <f t="shared" si="29"/>
        <v>0</v>
      </c>
      <c r="F224" s="12"/>
      <c r="G224" s="12"/>
      <c r="H224" s="12"/>
      <c r="I224" s="12"/>
      <c r="J224" s="11">
        <f t="shared" si="30"/>
        <v>0</v>
      </c>
      <c r="K224" s="12"/>
      <c r="L224" s="12"/>
      <c r="M224" s="12"/>
      <c r="N224" s="12"/>
      <c r="O224" s="12"/>
      <c r="P224" s="13">
        <f t="shared" si="27"/>
        <v>0</v>
      </c>
    </row>
    <row r="225" spans="1:18" ht="25.5" hidden="1" x14ac:dyDescent="0.2">
      <c r="A225" s="41" t="s">
        <v>521</v>
      </c>
      <c r="B225" s="8" t="s">
        <v>522</v>
      </c>
      <c r="C225" s="4"/>
      <c r="D225" s="5" t="s">
        <v>525</v>
      </c>
      <c r="E225" s="11">
        <f t="shared" si="29"/>
        <v>0</v>
      </c>
      <c r="F225" s="12"/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>
        <f>K225</f>
        <v>0</v>
      </c>
      <c r="P225" s="13">
        <f t="shared" si="27"/>
        <v>0</v>
      </c>
    </row>
    <row r="226" spans="1:18" ht="102" hidden="1" x14ac:dyDescent="0.2">
      <c r="A226" s="41" t="s">
        <v>523</v>
      </c>
      <c r="B226" s="8" t="s">
        <v>524</v>
      </c>
      <c r="C226" s="4" t="s">
        <v>55</v>
      </c>
      <c r="D226" s="5" t="s">
        <v>526</v>
      </c>
      <c r="E226" s="11">
        <f t="shared" si="29"/>
        <v>0</v>
      </c>
      <c r="F226" s="12"/>
      <c r="G226" s="12"/>
      <c r="H226" s="12"/>
      <c r="I226" s="12"/>
      <c r="J226" s="11">
        <f t="shared" si="30"/>
        <v>0</v>
      </c>
      <c r="K226" s="12"/>
      <c r="L226" s="12"/>
      <c r="M226" s="12"/>
      <c r="N226" s="12"/>
      <c r="O226" s="12">
        <f>K226</f>
        <v>0</v>
      </c>
      <c r="P226" s="13">
        <f t="shared" si="27"/>
        <v>0</v>
      </c>
    </row>
    <row r="227" spans="1:18" ht="117" hidden="1" customHeight="1" x14ac:dyDescent="0.2">
      <c r="A227" s="41"/>
      <c r="B227" s="8"/>
      <c r="C227" s="4"/>
      <c r="D227" s="5" t="s">
        <v>527</v>
      </c>
      <c r="E227" s="11">
        <f t="shared" si="29"/>
        <v>0</v>
      </c>
      <c r="F227" s="12"/>
      <c r="G227" s="12"/>
      <c r="H227" s="12"/>
      <c r="I227" s="12"/>
      <c r="J227" s="11">
        <f t="shared" si="30"/>
        <v>0</v>
      </c>
      <c r="K227" s="12"/>
      <c r="L227" s="12"/>
      <c r="M227" s="12"/>
      <c r="N227" s="12"/>
      <c r="O227" s="12">
        <f>K227</f>
        <v>0</v>
      </c>
      <c r="P227" s="13">
        <f t="shared" si="27"/>
        <v>0</v>
      </c>
    </row>
    <row r="228" spans="1:18" ht="89.25" hidden="1" x14ac:dyDescent="0.2">
      <c r="A228" s="41" t="s">
        <v>448</v>
      </c>
      <c r="B228" s="20" t="s">
        <v>432</v>
      </c>
      <c r="C228" s="20" t="s">
        <v>0</v>
      </c>
      <c r="D228" s="5" t="s">
        <v>556</v>
      </c>
      <c r="E228" s="11">
        <f>F228+I228</f>
        <v>0</v>
      </c>
      <c r="F228" s="12"/>
      <c r="G228" s="12"/>
      <c r="H228" s="12"/>
      <c r="I228" s="12"/>
      <c r="J228" s="11"/>
      <c r="K228" s="12"/>
      <c r="L228" s="12"/>
      <c r="M228" s="12"/>
      <c r="N228" s="12"/>
      <c r="O228" s="12"/>
      <c r="P228" s="13">
        <f t="shared" si="27"/>
        <v>0</v>
      </c>
    </row>
    <row r="229" spans="1:18" ht="105.6" hidden="1" customHeight="1" x14ac:dyDescent="0.2">
      <c r="A229" s="41"/>
      <c r="B229" s="8"/>
      <c r="C229" s="20"/>
      <c r="D229" s="5" t="s">
        <v>559</v>
      </c>
      <c r="E229" s="11">
        <f>F229+I229</f>
        <v>0</v>
      </c>
      <c r="F229" s="12"/>
      <c r="G229" s="12"/>
      <c r="H229" s="12"/>
      <c r="I229" s="12"/>
      <c r="J229" s="11"/>
      <c r="K229" s="12"/>
      <c r="L229" s="12"/>
      <c r="M229" s="12"/>
      <c r="N229" s="12"/>
      <c r="O229" s="12"/>
      <c r="P229" s="13">
        <f t="shared" si="27"/>
        <v>0</v>
      </c>
    </row>
    <row r="230" spans="1:18" ht="25.5" x14ac:dyDescent="0.2">
      <c r="A230" s="41" t="s">
        <v>654</v>
      </c>
      <c r="B230" s="4" t="s">
        <v>655</v>
      </c>
      <c r="C230" s="4" t="s">
        <v>117</v>
      </c>
      <c r="D230" s="103" t="s">
        <v>656</v>
      </c>
      <c r="E230" s="11">
        <f>F230+I230</f>
        <v>3742700</v>
      </c>
      <c r="F230" s="12">
        <v>3742700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3742700</v>
      </c>
    </row>
    <row r="231" spans="1:18" x14ac:dyDescent="0.2">
      <c r="A231" s="41" t="s">
        <v>413</v>
      </c>
      <c r="B231" s="4" t="s">
        <v>412</v>
      </c>
      <c r="C231" s="4" t="s">
        <v>117</v>
      </c>
      <c r="D231" s="72" t="s">
        <v>411</v>
      </c>
      <c r="E231" s="11">
        <f>F231+I231</f>
        <v>5782300</v>
      </c>
      <c r="F231" s="12">
        <f>236000+200000+2400000+53000+320000+1400000+67000+100000+400000+206300+400000</f>
        <v>5782300</v>
      </c>
      <c r="G231" s="12"/>
      <c r="H231" s="12"/>
      <c r="I231" s="12"/>
      <c r="J231" s="11">
        <f>L231+O231</f>
        <v>320000</v>
      </c>
      <c r="K231" s="12">
        <v>320000</v>
      </c>
      <c r="L231" s="12"/>
      <c r="M231" s="12"/>
      <c r="N231" s="12"/>
      <c r="O231" s="12">
        <f>K231</f>
        <v>320000</v>
      </c>
      <c r="P231" s="13">
        <f t="shared" si="27"/>
        <v>6102300</v>
      </c>
    </row>
    <row r="232" spans="1:18" hidden="1" x14ac:dyDescent="0.2">
      <c r="A232" s="41"/>
      <c r="B232" s="4"/>
      <c r="C232" s="4"/>
      <c r="D232" s="72" t="s">
        <v>483</v>
      </c>
      <c r="E232" s="11">
        <f>F232+I232</f>
        <v>0</v>
      </c>
      <c r="F232" s="12"/>
      <c r="G232" s="12"/>
      <c r="H232" s="12"/>
      <c r="I232" s="12"/>
      <c r="J232" s="11"/>
      <c r="K232" s="12"/>
      <c r="L232" s="12"/>
      <c r="M232" s="12"/>
      <c r="N232" s="12"/>
      <c r="O232" s="12"/>
      <c r="P232" s="13">
        <f t="shared" si="27"/>
        <v>0</v>
      </c>
    </row>
    <row r="233" spans="1:18" hidden="1" x14ac:dyDescent="0.2">
      <c r="A233" s="41" t="s">
        <v>459</v>
      </c>
      <c r="B233" s="4" t="s">
        <v>183</v>
      </c>
      <c r="C233" s="4"/>
      <c r="D233" s="82" t="s">
        <v>185</v>
      </c>
      <c r="E233" s="11">
        <f>E234</f>
        <v>70000</v>
      </c>
      <c r="F233" s="11"/>
      <c r="G233" s="11"/>
      <c r="H233" s="11"/>
      <c r="I233" s="11">
        <f t="shared" ref="I233:O233" si="32">I234</f>
        <v>0</v>
      </c>
      <c r="J233" s="11">
        <f t="shared" si="32"/>
        <v>0</v>
      </c>
      <c r="K233" s="11">
        <f>K234</f>
        <v>0</v>
      </c>
      <c r="L233" s="11">
        <f t="shared" si="32"/>
        <v>0</v>
      </c>
      <c r="M233" s="11">
        <f t="shared" si="32"/>
        <v>0</v>
      </c>
      <c r="N233" s="11">
        <f t="shared" si="32"/>
        <v>0</v>
      </c>
      <c r="O233" s="11">
        <f t="shared" si="32"/>
        <v>0</v>
      </c>
      <c r="P233" s="13">
        <f t="shared" si="27"/>
        <v>70000</v>
      </c>
    </row>
    <row r="234" spans="1:18" x14ac:dyDescent="0.2">
      <c r="A234" s="41" t="s">
        <v>460</v>
      </c>
      <c r="B234" s="4" t="s">
        <v>187</v>
      </c>
      <c r="C234" s="4" t="s">
        <v>122</v>
      </c>
      <c r="D234" s="82" t="s">
        <v>188</v>
      </c>
      <c r="E234" s="11">
        <f>F234+I234</f>
        <v>70000</v>
      </c>
      <c r="F234" s="12">
        <v>70000</v>
      </c>
      <c r="G234" s="12"/>
      <c r="H234" s="12"/>
      <c r="I234" s="12"/>
      <c r="J234" s="11">
        <f>L234+O234</f>
        <v>0</v>
      </c>
      <c r="K234" s="12"/>
      <c r="L234" s="12"/>
      <c r="M234" s="12"/>
      <c r="N234" s="12"/>
      <c r="O234" s="12"/>
      <c r="P234" s="13">
        <f t="shared" si="27"/>
        <v>70000</v>
      </c>
    </row>
    <row r="235" spans="1:18" x14ac:dyDescent="0.2">
      <c r="A235" s="62" t="s">
        <v>171</v>
      </c>
      <c r="B235" s="6"/>
      <c r="C235" s="7"/>
      <c r="D235" s="31" t="s">
        <v>63</v>
      </c>
      <c r="E235" s="25">
        <f>E236</f>
        <v>3931400</v>
      </c>
      <c r="F235" s="25">
        <f t="shared" ref="F235:O235" si="33">F236</f>
        <v>3931400</v>
      </c>
      <c r="G235" s="25">
        <f t="shared" si="33"/>
        <v>2868000</v>
      </c>
      <c r="H235" s="25">
        <f t="shared" si="33"/>
        <v>51500</v>
      </c>
      <c r="I235" s="25">
        <f t="shared" si="33"/>
        <v>0</v>
      </c>
      <c r="J235" s="25">
        <f t="shared" si="33"/>
        <v>0</v>
      </c>
      <c r="K235" s="25">
        <f>K236</f>
        <v>0</v>
      </c>
      <c r="L235" s="25">
        <f t="shared" si="33"/>
        <v>0</v>
      </c>
      <c r="M235" s="25">
        <f t="shared" si="33"/>
        <v>0</v>
      </c>
      <c r="N235" s="25">
        <f t="shared" si="33"/>
        <v>0</v>
      </c>
      <c r="O235" s="25">
        <f t="shared" si="33"/>
        <v>0</v>
      </c>
      <c r="P235" s="13">
        <f t="shared" si="27"/>
        <v>3931400</v>
      </c>
      <c r="R235" s="34"/>
    </row>
    <row r="236" spans="1:18" x14ac:dyDescent="0.2">
      <c r="A236" s="41" t="s">
        <v>276</v>
      </c>
      <c r="B236" s="8"/>
      <c r="C236" s="7"/>
      <c r="D236" s="15" t="s">
        <v>63</v>
      </c>
      <c r="E236" s="25">
        <f>E237+E239+E238</f>
        <v>3931400</v>
      </c>
      <c r="F236" s="25">
        <f>F237+F239+F238+F240</f>
        <v>3931400</v>
      </c>
      <c r="G236" s="25">
        <f t="shared" ref="G236:O236" si="34">G237+G239+G238</f>
        <v>2868000</v>
      </c>
      <c r="H236" s="25">
        <f t="shared" si="34"/>
        <v>51500</v>
      </c>
      <c r="I236" s="25">
        <f t="shared" si="34"/>
        <v>0</v>
      </c>
      <c r="J236" s="25">
        <f t="shared" si="34"/>
        <v>0</v>
      </c>
      <c r="K236" s="25">
        <f>K237+K239+K238</f>
        <v>0</v>
      </c>
      <c r="L236" s="25">
        <f t="shared" si="34"/>
        <v>0</v>
      </c>
      <c r="M236" s="25">
        <f t="shared" si="34"/>
        <v>0</v>
      </c>
      <c r="N236" s="25">
        <f t="shared" si="34"/>
        <v>0</v>
      </c>
      <c r="O236" s="25">
        <f t="shared" si="34"/>
        <v>0</v>
      </c>
      <c r="P236" s="25">
        <f>P237+P239+P238</f>
        <v>3931400</v>
      </c>
    </row>
    <row r="237" spans="1:18" ht="25.5" x14ac:dyDescent="0.2">
      <c r="A237" s="41" t="s">
        <v>277</v>
      </c>
      <c r="B237" s="4" t="s">
        <v>190</v>
      </c>
      <c r="C237" s="4" t="s">
        <v>116</v>
      </c>
      <c r="D237" s="14" t="s">
        <v>615</v>
      </c>
      <c r="E237" s="11">
        <f>F237+I237</f>
        <v>3781400</v>
      </c>
      <c r="F237" s="12">
        <f>3777900+3500</f>
        <v>3781400</v>
      </c>
      <c r="G237" s="12">
        <v>2868000</v>
      </c>
      <c r="H237" s="12">
        <f>48000+3500</f>
        <v>51500</v>
      </c>
      <c r="I237" s="12"/>
      <c r="J237" s="11">
        <f>L237+O237</f>
        <v>0</v>
      </c>
      <c r="K237" s="12"/>
      <c r="L237" s="12"/>
      <c r="M237" s="12"/>
      <c r="N237" s="12"/>
      <c r="O237" s="12">
        <f>K237</f>
        <v>0</v>
      </c>
      <c r="P237" s="13">
        <f t="shared" ref="P237:P254" si="35">E237+J237</f>
        <v>3781400</v>
      </c>
    </row>
    <row r="238" spans="1:18" ht="38.25" hidden="1" x14ac:dyDescent="0.2">
      <c r="A238" s="41" t="s">
        <v>465</v>
      </c>
      <c r="B238" s="4" t="s">
        <v>55</v>
      </c>
      <c r="C238" s="4" t="s">
        <v>132</v>
      </c>
      <c r="D238" s="14" t="s">
        <v>464</v>
      </c>
      <c r="E238" s="11">
        <f>F238+I238</f>
        <v>0</v>
      </c>
      <c r="F238" s="12"/>
      <c r="G238" s="12"/>
      <c r="H238" s="12"/>
      <c r="I238" s="12"/>
      <c r="J238" s="11">
        <f>L238+O238</f>
        <v>0</v>
      </c>
      <c r="K238" s="12"/>
      <c r="L238" s="12"/>
      <c r="M238" s="12"/>
      <c r="N238" s="12"/>
      <c r="O238" s="12">
        <f>K238</f>
        <v>0</v>
      </c>
      <c r="P238" s="13">
        <f t="shared" si="35"/>
        <v>0</v>
      </c>
    </row>
    <row r="239" spans="1:18" ht="15.75" hidden="1" x14ac:dyDescent="0.25">
      <c r="A239" s="41" t="s">
        <v>278</v>
      </c>
      <c r="B239" s="8" t="s">
        <v>164</v>
      </c>
      <c r="C239" s="4"/>
      <c r="D239" s="83" t="s">
        <v>162</v>
      </c>
      <c r="E239" s="11">
        <f>E240</f>
        <v>150000</v>
      </c>
      <c r="F239" s="11"/>
      <c r="G239" s="11"/>
      <c r="H239" s="11"/>
      <c r="I239" s="11">
        <f t="shared" ref="I239:O239" si="36">I240</f>
        <v>0</v>
      </c>
      <c r="J239" s="11">
        <f t="shared" si="36"/>
        <v>0</v>
      </c>
      <c r="K239" s="11">
        <f>K240</f>
        <v>0</v>
      </c>
      <c r="L239" s="11">
        <f t="shared" si="36"/>
        <v>0</v>
      </c>
      <c r="M239" s="11">
        <f t="shared" si="36"/>
        <v>0</v>
      </c>
      <c r="N239" s="11">
        <f t="shared" si="36"/>
        <v>0</v>
      </c>
      <c r="O239" s="11">
        <f t="shared" si="36"/>
        <v>0</v>
      </c>
      <c r="P239" s="13">
        <f t="shared" si="35"/>
        <v>150000</v>
      </c>
    </row>
    <row r="240" spans="1:18" ht="15.75" x14ac:dyDescent="0.25">
      <c r="A240" s="41" t="s">
        <v>279</v>
      </c>
      <c r="B240" s="8" t="s">
        <v>165</v>
      </c>
      <c r="C240" s="4" t="s">
        <v>0</v>
      </c>
      <c r="D240" s="46" t="s">
        <v>163</v>
      </c>
      <c r="E240" s="11">
        <f>F240</f>
        <v>150000</v>
      </c>
      <c r="F240" s="12">
        <v>150000</v>
      </c>
      <c r="G240" s="12"/>
      <c r="H240" s="12"/>
      <c r="I240" s="12"/>
      <c r="J240" s="11"/>
      <c r="K240" s="12"/>
      <c r="L240" s="12"/>
      <c r="M240" s="12"/>
      <c r="N240" s="12"/>
      <c r="O240" s="12"/>
      <c r="P240" s="13">
        <f t="shared" si="35"/>
        <v>150000</v>
      </c>
    </row>
    <row r="241" spans="1:18" ht="25.5" x14ac:dyDescent="0.2">
      <c r="A241" s="62">
        <v>1000000</v>
      </c>
      <c r="B241" s="6"/>
      <c r="C241" s="7"/>
      <c r="D241" s="31" t="s">
        <v>613</v>
      </c>
      <c r="E241" s="25">
        <f>E243</f>
        <v>52264200</v>
      </c>
      <c r="F241" s="25">
        <f t="shared" ref="F241:O241" si="37">F243</f>
        <v>52264200</v>
      </c>
      <c r="G241" s="25">
        <f t="shared" si="37"/>
        <v>35352000</v>
      </c>
      <c r="H241" s="25">
        <f t="shared" si="37"/>
        <v>3917100</v>
      </c>
      <c r="I241" s="25">
        <f t="shared" si="37"/>
        <v>0</v>
      </c>
      <c r="J241" s="25">
        <f t="shared" si="37"/>
        <v>6420000</v>
      </c>
      <c r="K241" s="25">
        <f>K243</f>
        <v>3235600</v>
      </c>
      <c r="L241" s="25">
        <f t="shared" si="37"/>
        <v>3184400</v>
      </c>
      <c r="M241" s="25">
        <f t="shared" si="37"/>
        <v>1649600</v>
      </c>
      <c r="N241" s="25">
        <f t="shared" si="37"/>
        <v>0</v>
      </c>
      <c r="O241" s="25">
        <f t="shared" si="37"/>
        <v>3235600</v>
      </c>
      <c r="P241" s="13">
        <f t="shared" si="35"/>
        <v>58684200</v>
      </c>
      <c r="R241" s="34"/>
    </row>
    <row r="242" spans="1:18" hidden="1" x14ac:dyDescent="0.2">
      <c r="A242" s="62"/>
      <c r="B242" s="6"/>
      <c r="C242" s="7"/>
      <c r="D242" s="35" t="s">
        <v>483</v>
      </c>
      <c r="E242" s="25"/>
      <c r="F242" s="25"/>
      <c r="G242" s="25"/>
      <c r="H242" s="25"/>
      <c r="I242" s="25"/>
      <c r="J242" s="17">
        <f>J246</f>
        <v>0</v>
      </c>
      <c r="K242" s="17">
        <f t="shared" ref="K242:P242" si="38">K246</f>
        <v>0</v>
      </c>
      <c r="L242" s="17">
        <f t="shared" si="38"/>
        <v>0</v>
      </c>
      <c r="M242" s="17">
        <f t="shared" si="38"/>
        <v>0</v>
      </c>
      <c r="N242" s="17">
        <f t="shared" si="38"/>
        <v>0</v>
      </c>
      <c r="O242" s="17">
        <f t="shared" si="38"/>
        <v>0</v>
      </c>
      <c r="P242" s="32">
        <f t="shared" si="38"/>
        <v>0</v>
      </c>
    </row>
    <row r="243" spans="1:18" ht="15.75" customHeight="1" x14ac:dyDescent="0.2">
      <c r="A243" s="41" t="s">
        <v>280</v>
      </c>
      <c r="B243" s="8"/>
      <c r="C243" s="7"/>
      <c r="D243" s="15" t="s">
        <v>613</v>
      </c>
      <c r="E243" s="25">
        <f>E244+E245+E248+E250+E251+E253+E254+E247</f>
        <v>52264200</v>
      </c>
      <c r="F243" s="25">
        <f>F244+F245+F248+F250+F251+F253+F254+F247</f>
        <v>52264200</v>
      </c>
      <c r="G243" s="25">
        <f>G244+G245+G248+G250+G251+G253+G254</f>
        <v>35352000</v>
      </c>
      <c r="H243" s="25">
        <f>H244+H245+H248+H250+H251+H253+H254</f>
        <v>3917100</v>
      </c>
      <c r="I243" s="25">
        <f>SUM(I244:I252)</f>
        <v>0</v>
      </c>
      <c r="J243" s="25">
        <f t="shared" ref="J243:O243" si="39">J244+J245+J248+J250+J251+J253+J254</f>
        <v>6420000</v>
      </c>
      <c r="K243" s="25">
        <f t="shared" si="39"/>
        <v>3235600</v>
      </c>
      <c r="L243" s="25">
        <f t="shared" si="39"/>
        <v>3184400</v>
      </c>
      <c r="M243" s="25">
        <f t="shared" si="39"/>
        <v>1649600</v>
      </c>
      <c r="N243" s="25">
        <f t="shared" si="39"/>
        <v>0</v>
      </c>
      <c r="O243" s="25">
        <f t="shared" si="39"/>
        <v>3235600</v>
      </c>
      <c r="P243" s="13">
        <f t="shared" si="35"/>
        <v>58684200</v>
      </c>
    </row>
    <row r="244" spans="1:18" ht="25.5" x14ac:dyDescent="0.2">
      <c r="A244" s="41" t="s">
        <v>281</v>
      </c>
      <c r="B244" s="4" t="s">
        <v>190</v>
      </c>
      <c r="C244" s="4" t="s">
        <v>116</v>
      </c>
      <c r="D244" s="14" t="s">
        <v>615</v>
      </c>
      <c r="E244" s="11">
        <f t="shared" ref="E244:E254" si="40">F244+I244</f>
        <v>2460500</v>
      </c>
      <c r="F244" s="12">
        <f>1498000+824200+138300</f>
        <v>2460500</v>
      </c>
      <c r="G244" s="12">
        <f>1065000+675600</f>
        <v>1740600</v>
      </c>
      <c r="H244" s="12"/>
      <c r="I244" s="12"/>
      <c r="J244" s="11">
        <f t="shared" ref="J244:J254" si="41">L244+O244</f>
        <v>79000</v>
      </c>
      <c r="K244" s="12">
        <f>22000+57000</f>
        <v>79000</v>
      </c>
      <c r="L244" s="12"/>
      <c r="M244" s="12"/>
      <c r="N244" s="12"/>
      <c r="O244" s="12">
        <f t="shared" ref="O244:O254" si="42">K244</f>
        <v>79000</v>
      </c>
      <c r="P244" s="13">
        <f t="shared" si="35"/>
        <v>2539500</v>
      </c>
    </row>
    <row r="245" spans="1:18" x14ac:dyDescent="0.2">
      <c r="A245" s="41" t="s">
        <v>653</v>
      </c>
      <c r="B245" s="99" t="s">
        <v>629</v>
      </c>
      <c r="C245" s="20" t="s">
        <v>134</v>
      </c>
      <c r="D245" s="5" t="s">
        <v>584</v>
      </c>
      <c r="E245" s="11">
        <f>F245+I245</f>
        <v>22349500</v>
      </c>
      <c r="F245" s="12">
        <f>22411400-61900</f>
        <v>22349500</v>
      </c>
      <c r="G245" s="12">
        <v>17326700</v>
      </c>
      <c r="H245" s="12">
        <f>1090000-61900</f>
        <v>1028100</v>
      </c>
      <c r="I245" s="12"/>
      <c r="J245" s="11">
        <f>L245+O245</f>
        <v>2220000</v>
      </c>
      <c r="K245" s="12"/>
      <c r="L245" s="12">
        <v>2220000</v>
      </c>
      <c r="M245" s="12">
        <v>1500000</v>
      </c>
      <c r="N245" s="12"/>
      <c r="O245" s="12">
        <f t="shared" si="42"/>
        <v>0</v>
      </c>
      <c r="P245" s="13">
        <f t="shared" si="35"/>
        <v>24569500</v>
      </c>
    </row>
    <row r="246" spans="1:18" s="1" customFormat="1" hidden="1" x14ac:dyDescent="0.2">
      <c r="A246" s="36"/>
      <c r="B246" s="22"/>
      <c r="C246" s="22"/>
      <c r="D246" s="35" t="s">
        <v>483</v>
      </c>
      <c r="E246" s="10"/>
      <c r="F246" s="17"/>
      <c r="G246" s="17"/>
      <c r="H246" s="17"/>
      <c r="I246" s="17"/>
      <c r="J246" s="10">
        <f>L246+O246</f>
        <v>0</v>
      </c>
      <c r="K246" s="17"/>
      <c r="L246" s="17"/>
      <c r="M246" s="17"/>
      <c r="N246" s="17"/>
      <c r="O246" s="17">
        <f>K246</f>
        <v>0</v>
      </c>
      <c r="P246" s="16">
        <f>E246+J246</f>
        <v>0</v>
      </c>
    </row>
    <row r="247" spans="1:18" ht="15.75" customHeight="1" x14ac:dyDescent="0.2">
      <c r="A247" s="41" t="s">
        <v>648</v>
      </c>
      <c r="B247" s="20" t="s">
        <v>267</v>
      </c>
      <c r="C247" s="27" t="s">
        <v>0</v>
      </c>
      <c r="D247" s="47" t="s">
        <v>136</v>
      </c>
      <c r="E247" s="11">
        <f>F247+I247</f>
        <v>650000</v>
      </c>
      <c r="F247" s="12">
        <v>650000</v>
      </c>
      <c r="G247" s="12"/>
      <c r="H247" s="12"/>
      <c r="I247" s="12"/>
      <c r="J247" s="11">
        <f>L247+O247</f>
        <v>0</v>
      </c>
      <c r="K247" s="12"/>
      <c r="L247" s="12"/>
      <c r="M247" s="12"/>
      <c r="N247" s="12"/>
      <c r="O247" s="12">
        <f>K247</f>
        <v>0</v>
      </c>
      <c r="P247" s="13">
        <f>E247+J247</f>
        <v>650000</v>
      </c>
    </row>
    <row r="248" spans="1:18" x14ac:dyDescent="0.2">
      <c r="A248" s="41" t="s">
        <v>284</v>
      </c>
      <c r="B248" s="20" t="s">
        <v>283</v>
      </c>
      <c r="C248" s="20" t="s">
        <v>64</v>
      </c>
      <c r="D248" s="5" t="s">
        <v>282</v>
      </c>
      <c r="E248" s="11">
        <f t="shared" si="40"/>
        <v>6796500</v>
      </c>
      <c r="F248" s="12">
        <f>6794100+2400</f>
        <v>6796500</v>
      </c>
      <c r="G248" s="12">
        <v>4976700</v>
      </c>
      <c r="H248" s="12">
        <f>480000+2400</f>
        <v>482400</v>
      </c>
      <c r="I248" s="12"/>
      <c r="J248" s="11">
        <f t="shared" si="41"/>
        <v>160000</v>
      </c>
      <c r="K248" s="12">
        <v>100000</v>
      </c>
      <c r="L248" s="12">
        <v>60000</v>
      </c>
      <c r="M248" s="12"/>
      <c r="N248" s="12"/>
      <c r="O248" s="17">
        <f>K248</f>
        <v>100000</v>
      </c>
      <c r="P248" s="13">
        <f t="shared" si="35"/>
        <v>6956500</v>
      </c>
    </row>
    <row r="249" spans="1:18" hidden="1" x14ac:dyDescent="0.2">
      <c r="A249" s="41"/>
      <c r="B249" s="20"/>
      <c r="C249" s="20"/>
      <c r="E249" s="11"/>
      <c r="F249" s="12"/>
      <c r="G249" s="12"/>
      <c r="H249" s="12"/>
      <c r="I249" s="12"/>
      <c r="J249" s="11"/>
      <c r="K249" s="12"/>
      <c r="L249" s="12"/>
      <c r="M249" s="12"/>
      <c r="N249" s="12"/>
      <c r="O249" s="12"/>
      <c r="P249" s="13"/>
    </row>
    <row r="250" spans="1:18" x14ac:dyDescent="0.2">
      <c r="A250" s="41" t="s">
        <v>287</v>
      </c>
      <c r="B250" s="4" t="s">
        <v>286</v>
      </c>
      <c r="C250" s="4" t="s">
        <v>64</v>
      </c>
      <c r="D250" s="14" t="s">
        <v>285</v>
      </c>
      <c r="E250" s="11">
        <f>F250+I250</f>
        <v>4182800</v>
      </c>
      <c r="F250" s="12">
        <f>4182600+200</f>
        <v>4182800</v>
      </c>
      <c r="G250" s="12">
        <v>3003900</v>
      </c>
      <c r="H250" s="12">
        <f>307800+200</f>
        <v>308000</v>
      </c>
      <c r="I250" s="12"/>
      <c r="J250" s="11">
        <f t="shared" si="41"/>
        <v>42400</v>
      </c>
      <c r="K250" s="12"/>
      <c r="L250" s="12">
        <v>42400</v>
      </c>
      <c r="M250" s="12">
        <v>4600</v>
      </c>
      <c r="N250" s="12"/>
      <c r="O250" s="12">
        <f t="shared" si="42"/>
        <v>0</v>
      </c>
      <c r="P250" s="13">
        <f t="shared" si="35"/>
        <v>4225200</v>
      </c>
    </row>
    <row r="251" spans="1:18" ht="25.5" x14ac:dyDescent="0.2">
      <c r="A251" s="41" t="s">
        <v>289</v>
      </c>
      <c r="B251" s="20" t="s">
        <v>52</v>
      </c>
      <c r="C251" s="20" t="s">
        <v>65</v>
      </c>
      <c r="D251" s="21" t="s">
        <v>288</v>
      </c>
      <c r="E251" s="11">
        <f t="shared" si="40"/>
        <v>10040800</v>
      </c>
      <c r="F251" s="12">
        <f>10022400+18400</f>
        <v>10040800</v>
      </c>
      <c r="G251" s="12">
        <v>6344600</v>
      </c>
      <c r="H251" s="12">
        <f>2080200+18400</f>
        <v>2098600</v>
      </c>
      <c r="I251" s="12"/>
      <c r="J251" s="11">
        <f t="shared" si="41"/>
        <v>3851300</v>
      </c>
      <c r="K251" s="12">
        <v>2989300</v>
      </c>
      <c r="L251" s="12">
        <v>862000</v>
      </c>
      <c r="M251" s="12">
        <v>145000</v>
      </c>
      <c r="N251" s="12"/>
      <c r="O251" s="12">
        <f t="shared" si="42"/>
        <v>2989300</v>
      </c>
      <c r="P251" s="13">
        <f t="shared" si="35"/>
        <v>13892100</v>
      </c>
    </row>
    <row r="252" spans="1:18" hidden="1" x14ac:dyDescent="0.2">
      <c r="A252" s="41" t="s">
        <v>292</v>
      </c>
      <c r="B252" s="20" t="s">
        <v>291</v>
      </c>
      <c r="C252" s="20"/>
      <c r="D252" s="5" t="s">
        <v>290</v>
      </c>
      <c r="E252" s="11">
        <f t="shared" si="40"/>
        <v>0</v>
      </c>
      <c r="F252" s="12"/>
      <c r="G252" s="12"/>
      <c r="H252" s="12"/>
      <c r="I252" s="12">
        <f>I253+I254</f>
        <v>0</v>
      </c>
      <c r="J252" s="11">
        <f t="shared" si="41"/>
        <v>0</v>
      </c>
      <c r="K252" s="12"/>
      <c r="L252" s="12"/>
      <c r="M252" s="12"/>
      <c r="N252" s="12"/>
      <c r="O252" s="12">
        <f t="shared" si="42"/>
        <v>0</v>
      </c>
      <c r="P252" s="13">
        <f t="shared" si="35"/>
        <v>0</v>
      </c>
    </row>
    <row r="253" spans="1:18" x14ac:dyDescent="0.2">
      <c r="A253" s="41" t="s">
        <v>416</v>
      </c>
      <c r="B253" s="20" t="s">
        <v>414</v>
      </c>
      <c r="C253" s="20" t="s">
        <v>66</v>
      </c>
      <c r="D253" s="5" t="s">
        <v>418</v>
      </c>
      <c r="E253" s="11">
        <f t="shared" si="40"/>
        <v>2594100</v>
      </c>
      <c r="F253" s="12">
        <v>2594100</v>
      </c>
      <c r="G253" s="12">
        <v>1959500</v>
      </c>
      <c r="H253" s="12"/>
      <c r="I253" s="12"/>
      <c r="J253" s="11">
        <f t="shared" si="41"/>
        <v>67300</v>
      </c>
      <c r="K253" s="12">
        <v>67300</v>
      </c>
      <c r="L253" s="12"/>
      <c r="M253" s="12"/>
      <c r="N253" s="12"/>
      <c r="O253" s="12">
        <f t="shared" si="42"/>
        <v>67300</v>
      </c>
      <c r="P253" s="13">
        <f t="shared" si="35"/>
        <v>2661400</v>
      </c>
    </row>
    <row r="254" spans="1:18" x14ac:dyDescent="0.2">
      <c r="A254" s="41" t="s">
        <v>417</v>
      </c>
      <c r="B254" s="20" t="s">
        <v>415</v>
      </c>
      <c r="C254" s="20" t="s">
        <v>66</v>
      </c>
      <c r="D254" s="5" t="s">
        <v>419</v>
      </c>
      <c r="E254" s="11">
        <f t="shared" si="40"/>
        <v>3190000</v>
      </c>
      <c r="F254" s="12">
        <v>3190000</v>
      </c>
      <c r="G254" s="12"/>
      <c r="H254" s="12"/>
      <c r="I254" s="12"/>
      <c r="J254" s="11">
        <f t="shared" si="41"/>
        <v>0</v>
      </c>
      <c r="K254" s="12"/>
      <c r="L254" s="12"/>
      <c r="M254" s="12"/>
      <c r="N254" s="12"/>
      <c r="O254" s="12">
        <f t="shared" si="42"/>
        <v>0</v>
      </c>
      <c r="P254" s="13">
        <f t="shared" si="35"/>
        <v>3190000</v>
      </c>
    </row>
    <row r="255" spans="1:18" ht="16.149999999999999" customHeight="1" x14ac:dyDescent="0.2">
      <c r="A255" s="62">
        <v>1100000</v>
      </c>
      <c r="B255" s="6"/>
      <c r="C255" s="84"/>
      <c r="D255" s="31" t="s">
        <v>614</v>
      </c>
      <c r="E255" s="25">
        <f>E256</f>
        <v>28109000</v>
      </c>
      <c r="F255" s="25">
        <f>F256</f>
        <v>28109000</v>
      </c>
      <c r="G255" s="25">
        <f>G256</f>
        <v>14764400</v>
      </c>
      <c r="H255" s="25">
        <f>H256</f>
        <v>1935100</v>
      </c>
      <c r="I255" s="25">
        <f>I256</f>
        <v>0</v>
      </c>
      <c r="J255" s="25">
        <f t="shared" ref="J255:P255" si="43">J256</f>
        <v>2373900</v>
      </c>
      <c r="K255" s="25">
        <f>K256</f>
        <v>1559200</v>
      </c>
      <c r="L255" s="25">
        <f t="shared" si="43"/>
        <v>814700</v>
      </c>
      <c r="M255" s="25">
        <f t="shared" si="43"/>
        <v>53800</v>
      </c>
      <c r="N255" s="25">
        <f t="shared" si="43"/>
        <v>137600</v>
      </c>
      <c r="O255" s="25">
        <f t="shared" si="43"/>
        <v>1559200</v>
      </c>
      <c r="P255" s="25">
        <f t="shared" si="43"/>
        <v>30482900</v>
      </c>
      <c r="R255" s="34"/>
    </row>
    <row r="256" spans="1:18" ht="30" customHeight="1" x14ac:dyDescent="0.2">
      <c r="A256" s="41">
        <v>1110000</v>
      </c>
      <c r="B256" s="8"/>
      <c r="C256" s="84"/>
      <c r="D256" s="15" t="s">
        <v>614</v>
      </c>
      <c r="E256" s="25">
        <f>E257+E260+E261+E263+E265+E268+E270+E271</f>
        <v>28109000</v>
      </c>
      <c r="F256" s="25">
        <f>F257+F260+F261+F263+F265+F268+F270+F271</f>
        <v>28109000</v>
      </c>
      <c r="G256" s="25">
        <f>G257+G247+G260+G261+G263+G265+G268+G270+G271</f>
        <v>14764400</v>
      </c>
      <c r="H256" s="25">
        <f>H257+H247+H260+H261+H263+H265+H268+H270+H271</f>
        <v>1935100</v>
      </c>
      <c r="I256" s="25">
        <f>I257+I247+I260+I261+I263+I265+I268+I270+I271</f>
        <v>0</v>
      </c>
      <c r="J256" s="25">
        <f>J257+J265+J268+J271</f>
        <v>2373900</v>
      </c>
      <c r="K256" s="25">
        <f>K257+K258+K259+K264+K267+K262+K269+K268+K271</f>
        <v>1559200</v>
      </c>
      <c r="L256" s="25">
        <f>L257+L258+L259+L264+L267+L262+L269+L268</f>
        <v>814700</v>
      </c>
      <c r="M256" s="25">
        <f>M257+M258+M259+M264+M267+M262+M269+M268</f>
        <v>53800</v>
      </c>
      <c r="N256" s="25">
        <f>N257+N258+N259+N264+N267+N262+N269+N268</f>
        <v>137600</v>
      </c>
      <c r="O256" s="25">
        <f>O257+O258+O259+O264+O267+O262+O269+O268</f>
        <v>1559200</v>
      </c>
      <c r="P256" s="25">
        <f>P257+P260+P261+P263+P265+P268+P270+P271</f>
        <v>30482900</v>
      </c>
    </row>
    <row r="257" spans="1:18" ht="25.5" x14ac:dyDescent="0.2">
      <c r="A257" s="41" t="s">
        <v>293</v>
      </c>
      <c r="B257" s="4" t="s">
        <v>190</v>
      </c>
      <c r="C257" s="26" t="s">
        <v>116</v>
      </c>
      <c r="D257" s="14" t="s">
        <v>615</v>
      </c>
      <c r="E257" s="11">
        <f t="shared" ref="E257:E271" si="44">F257+I257</f>
        <v>2609200</v>
      </c>
      <c r="F257" s="12">
        <f>3571700-824200-138300</f>
        <v>2609200</v>
      </c>
      <c r="G257" s="12">
        <f>2600000-675600</f>
        <v>1924400</v>
      </c>
      <c r="H257" s="12"/>
      <c r="I257" s="12"/>
      <c r="J257" s="11">
        <f>L257+O257</f>
        <v>0</v>
      </c>
      <c r="K257" s="12"/>
      <c r="L257" s="12"/>
      <c r="M257" s="12"/>
      <c r="N257" s="12"/>
      <c r="O257" s="12">
        <f t="shared" ref="O257:O268" si="45">K257</f>
        <v>0</v>
      </c>
      <c r="P257" s="13">
        <f t="shared" ref="P257:P273" si="46">E257+J257</f>
        <v>2609200</v>
      </c>
    </row>
    <row r="258" spans="1:18" hidden="1" x14ac:dyDescent="0.2">
      <c r="A258" s="41" t="s">
        <v>294</v>
      </c>
      <c r="B258" s="20" t="s">
        <v>149</v>
      </c>
      <c r="C258" s="27"/>
      <c r="D258" s="23" t="s">
        <v>143</v>
      </c>
      <c r="E258" s="11">
        <f t="shared" si="44"/>
        <v>0</v>
      </c>
      <c r="F258" s="12"/>
      <c r="G258" s="12"/>
      <c r="H258" s="12"/>
      <c r="I258" s="12"/>
      <c r="J258" s="11">
        <f t="shared" ref="J258:J271" si="47">L258+O258</f>
        <v>0</v>
      </c>
      <c r="K258" s="12"/>
      <c r="L258" s="12"/>
      <c r="M258" s="12"/>
      <c r="N258" s="12"/>
      <c r="O258" s="12">
        <f t="shared" si="45"/>
        <v>0</v>
      </c>
      <c r="P258" s="13">
        <f t="shared" si="46"/>
        <v>0</v>
      </c>
    </row>
    <row r="259" spans="1:18" ht="15.75" hidden="1" customHeight="1" x14ac:dyDescent="0.2">
      <c r="A259" s="41">
        <v>1115010</v>
      </c>
      <c r="B259" s="20" t="s">
        <v>144</v>
      </c>
      <c r="C259" s="27"/>
      <c r="D259" s="21" t="s">
        <v>17</v>
      </c>
      <c r="E259" s="11">
        <f t="shared" si="44"/>
        <v>0</v>
      </c>
      <c r="F259" s="12"/>
      <c r="G259" s="12"/>
      <c r="H259" s="12"/>
      <c r="I259" s="12">
        <f>SUM(I260:I261)</f>
        <v>0</v>
      </c>
      <c r="J259" s="11">
        <f t="shared" si="47"/>
        <v>0</v>
      </c>
      <c r="K259" s="12">
        <f>SUM(K260:K261)</f>
        <v>0</v>
      </c>
      <c r="L259" s="12">
        <f>SUM(L260:L261)</f>
        <v>0</v>
      </c>
      <c r="M259" s="12">
        <f>SUM(M260:M261)</f>
        <v>0</v>
      </c>
      <c r="N259" s="12">
        <f>SUM(N260:N261)</f>
        <v>0</v>
      </c>
      <c r="O259" s="12">
        <f t="shared" si="45"/>
        <v>0</v>
      </c>
      <c r="P259" s="13">
        <f t="shared" si="46"/>
        <v>0</v>
      </c>
    </row>
    <row r="260" spans="1:18" ht="15.75" customHeight="1" x14ac:dyDescent="0.2">
      <c r="A260" s="41">
        <v>1115011</v>
      </c>
      <c r="B260" s="20" t="s">
        <v>31</v>
      </c>
      <c r="C260" s="27" t="s">
        <v>1</v>
      </c>
      <c r="D260" s="5" t="s">
        <v>87</v>
      </c>
      <c r="E260" s="11">
        <f t="shared" si="44"/>
        <v>1250000</v>
      </c>
      <c r="F260" s="12">
        <f>120000+1130000</f>
        <v>1250000</v>
      </c>
      <c r="G260" s="12"/>
      <c r="H260" s="12"/>
      <c r="I260" s="12"/>
      <c r="J260" s="11">
        <f t="shared" si="47"/>
        <v>0</v>
      </c>
      <c r="K260" s="12"/>
      <c r="L260" s="12"/>
      <c r="M260" s="12"/>
      <c r="N260" s="12"/>
      <c r="O260" s="12">
        <f t="shared" si="45"/>
        <v>0</v>
      </c>
      <c r="P260" s="13">
        <f t="shared" si="46"/>
        <v>1250000</v>
      </c>
    </row>
    <row r="261" spans="1:18" ht="19.5" customHeight="1" x14ac:dyDescent="0.2">
      <c r="A261" s="41">
        <v>1115012</v>
      </c>
      <c r="B261" s="20" t="s">
        <v>11</v>
      </c>
      <c r="C261" s="27" t="s">
        <v>1</v>
      </c>
      <c r="D261" s="23" t="s">
        <v>10</v>
      </c>
      <c r="E261" s="11">
        <f t="shared" si="44"/>
        <v>836000</v>
      </c>
      <c r="F261" s="12">
        <f>76000+760000</f>
        <v>836000</v>
      </c>
      <c r="G261" s="12"/>
      <c r="H261" s="12"/>
      <c r="I261" s="12"/>
      <c r="J261" s="11">
        <f t="shared" si="47"/>
        <v>0</v>
      </c>
      <c r="K261" s="12"/>
      <c r="L261" s="12"/>
      <c r="M261" s="12"/>
      <c r="N261" s="12"/>
      <c r="O261" s="12">
        <f t="shared" si="45"/>
        <v>0</v>
      </c>
      <c r="P261" s="13">
        <f t="shared" si="46"/>
        <v>836000</v>
      </c>
    </row>
    <row r="262" spans="1:18" ht="15.75" hidden="1" customHeight="1" x14ac:dyDescent="0.2">
      <c r="A262" s="41" t="s">
        <v>383</v>
      </c>
      <c r="B262" s="20" t="s">
        <v>384</v>
      </c>
      <c r="C262" s="27"/>
      <c r="D262" s="23" t="s">
        <v>428</v>
      </c>
      <c r="E262" s="11">
        <f t="shared" si="44"/>
        <v>0</v>
      </c>
      <c r="F262" s="12"/>
      <c r="G262" s="12"/>
      <c r="H262" s="12"/>
      <c r="I262" s="12">
        <f>I263</f>
        <v>0</v>
      </c>
      <c r="J262" s="11">
        <f t="shared" si="47"/>
        <v>0</v>
      </c>
      <c r="K262" s="12">
        <f>K263</f>
        <v>0</v>
      </c>
      <c r="L262" s="12">
        <f>L263</f>
        <v>0</v>
      </c>
      <c r="M262" s="12">
        <f>M263</f>
        <v>0</v>
      </c>
      <c r="N262" s="12">
        <f>N263</f>
        <v>0</v>
      </c>
      <c r="O262" s="12">
        <f t="shared" si="45"/>
        <v>0</v>
      </c>
      <c r="P262" s="13">
        <f t="shared" si="46"/>
        <v>0</v>
      </c>
    </row>
    <row r="263" spans="1:18" ht="26.25" customHeight="1" x14ac:dyDescent="0.2">
      <c r="A263" s="41" t="s">
        <v>386</v>
      </c>
      <c r="B263" s="20" t="s">
        <v>385</v>
      </c>
      <c r="C263" s="27" t="s">
        <v>1</v>
      </c>
      <c r="D263" s="23" t="s">
        <v>429</v>
      </c>
      <c r="E263" s="11">
        <f t="shared" si="44"/>
        <v>54000</v>
      </c>
      <c r="F263" s="12">
        <f>44000+10000</f>
        <v>54000</v>
      </c>
      <c r="G263" s="12"/>
      <c r="H263" s="12"/>
      <c r="I263" s="12"/>
      <c r="J263" s="11">
        <f t="shared" si="47"/>
        <v>0</v>
      </c>
      <c r="K263" s="12"/>
      <c r="L263" s="12"/>
      <c r="M263" s="12"/>
      <c r="N263" s="12"/>
      <c r="O263" s="12">
        <f t="shared" si="45"/>
        <v>0</v>
      </c>
      <c r="P263" s="13">
        <f t="shared" si="46"/>
        <v>54000</v>
      </c>
    </row>
    <row r="264" spans="1:18" hidden="1" x14ac:dyDescent="0.2">
      <c r="A264" s="41">
        <v>1115030</v>
      </c>
      <c r="B264" s="20" t="s">
        <v>145</v>
      </c>
      <c r="C264" s="27"/>
      <c r="D264" s="5" t="s">
        <v>137</v>
      </c>
      <c r="E264" s="11">
        <f t="shared" si="44"/>
        <v>0</v>
      </c>
      <c r="F264" s="12"/>
      <c r="G264" s="12"/>
      <c r="H264" s="12"/>
      <c r="I264" s="12">
        <f t="shared" ref="I264:N264" si="48">SUM(I265)</f>
        <v>0</v>
      </c>
      <c r="J264" s="11">
        <f t="shared" si="47"/>
        <v>1945300</v>
      </c>
      <c r="K264" s="12">
        <f>SUM(K265)</f>
        <v>1200000</v>
      </c>
      <c r="L264" s="12">
        <f t="shared" si="48"/>
        <v>745300</v>
      </c>
      <c r="M264" s="12">
        <f t="shared" si="48"/>
        <v>43700</v>
      </c>
      <c r="N264" s="12">
        <f t="shared" si="48"/>
        <v>119100</v>
      </c>
      <c r="O264" s="12">
        <f t="shared" si="45"/>
        <v>1200000</v>
      </c>
      <c r="P264" s="13">
        <f t="shared" si="46"/>
        <v>1945300</v>
      </c>
    </row>
    <row r="265" spans="1:18" ht="25.5" x14ac:dyDescent="0.2">
      <c r="A265" s="41">
        <v>1115031</v>
      </c>
      <c r="B265" s="20" t="s">
        <v>138</v>
      </c>
      <c r="C265" s="27" t="s">
        <v>1</v>
      </c>
      <c r="D265" s="5" t="s">
        <v>88</v>
      </c>
      <c r="E265" s="11">
        <f t="shared" si="44"/>
        <v>14462500</v>
      </c>
      <c r="F265" s="12">
        <f>14419400+43100</f>
        <v>14462500</v>
      </c>
      <c r="G265" s="12">
        <v>10220000</v>
      </c>
      <c r="H265" s="12">
        <f>1407000+43100</f>
        <v>1450100</v>
      </c>
      <c r="I265" s="12"/>
      <c r="J265" s="11">
        <f t="shared" si="47"/>
        <v>1945300</v>
      </c>
      <c r="K265" s="12">
        <v>1200000</v>
      </c>
      <c r="L265" s="12">
        <v>745300</v>
      </c>
      <c r="M265" s="12">
        <v>43700</v>
      </c>
      <c r="N265" s="12">
        <v>119100</v>
      </c>
      <c r="O265" s="12">
        <f t="shared" si="45"/>
        <v>1200000</v>
      </c>
      <c r="P265" s="13">
        <f t="shared" si="46"/>
        <v>16407800</v>
      </c>
    </row>
    <row r="266" spans="1:18" s="1" customFormat="1" ht="18" hidden="1" customHeight="1" x14ac:dyDescent="0.2">
      <c r="A266" s="36"/>
      <c r="B266" s="22"/>
      <c r="C266" s="28"/>
      <c r="D266" s="35" t="s">
        <v>483</v>
      </c>
      <c r="E266" s="10"/>
      <c r="F266" s="17"/>
      <c r="G266" s="17"/>
      <c r="H266" s="17"/>
      <c r="I266" s="17"/>
      <c r="J266" s="10">
        <f>L266+O266</f>
        <v>0</v>
      </c>
      <c r="K266" s="17"/>
      <c r="L266" s="17"/>
      <c r="M266" s="17"/>
      <c r="N266" s="17"/>
      <c r="O266" s="17">
        <f>K266</f>
        <v>0</v>
      </c>
      <c r="P266" s="16">
        <f t="shared" si="46"/>
        <v>0</v>
      </c>
    </row>
    <row r="267" spans="1:18" ht="18.75" hidden="1" customHeight="1" x14ac:dyDescent="0.2">
      <c r="A267" s="41">
        <v>1115040</v>
      </c>
      <c r="B267" s="20" t="s">
        <v>139</v>
      </c>
      <c r="C267" s="27"/>
      <c r="D267" s="5" t="s">
        <v>140</v>
      </c>
      <c r="E267" s="11">
        <f>E268</f>
        <v>6799200</v>
      </c>
      <c r="F267" s="11"/>
      <c r="G267" s="11"/>
      <c r="H267" s="11"/>
      <c r="I267" s="11">
        <f>I268</f>
        <v>0</v>
      </c>
      <c r="J267" s="11">
        <f t="shared" si="47"/>
        <v>0</v>
      </c>
      <c r="K267" s="11"/>
      <c r="L267" s="11"/>
      <c r="M267" s="11"/>
      <c r="N267" s="11"/>
      <c r="O267" s="12">
        <f t="shared" si="45"/>
        <v>0</v>
      </c>
      <c r="P267" s="13">
        <f t="shared" si="46"/>
        <v>6799200</v>
      </c>
    </row>
    <row r="268" spans="1:18" ht="17.25" customHeight="1" x14ac:dyDescent="0.2">
      <c r="A268" s="41">
        <v>1115041</v>
      </c>
      <c r="B268" s="20" t="s">
        <v>141</v>
      </c>
      <c r="C268" s="27" t="s">
        <v>1</v>
      </c>
      <c r="D268" s="5" t="s">
        <v>295</v>
      </c>
      <c r="E268" s="11">
        <f t="shared" si="44"/>
        <v>6799200</v>
      </c>
      <c r="F268" s="12">
        <f>2753200+4000000+46000</f>
        <v>6799200</v>
      </c>
      <c r="G268" s="12">
        <v>1380000</v>
      </c>
      <c r="H268" s="12">
        <v>485000</v>
      </c>
      <c r="I268" s="12"/>
      <c r="J268" s="11">
        <f t="shared" si="47"/>
        <v>378600</v>
      </c>
      <c r="K268" s="12">
        <f>200000+109200</f>
        <v>309200</v>
      </c>
      <c r="L268" s="12">
        <v>69400</v>
      </c>
      <c r="M268" s="12">
        <v>10100</v>
      </c>
      <c r="N268" s="12">
        <v>18500</v>
      </c>
      <c r="O268" s="12">
        <f t="shared" si="45"/>
        <v>309200</v>
      </c>
      <c r="P268" s="13">
        <f t="shared" si="46"/>
        <v>7177800</v>
      </c>
    </row>
    <row r="269" spans="1:18" ht="12.75" hidden="1" customHeight="1" x14ac:dyDescent="0.2">
      <c r="A269" s="41" t="s">
        <v>451</v>
      </c>
      <c r="B269" s="20" t="s">
        <v>453</v>
      </c>
      <c r="C269" s="27"/>
      <c r="D269" s="5" t="s">
        <v>452</v>
      </c>
      <c r="E269" s="11">
        <f>E270+E271</f>
        <v>2098100</v>
      </c>
      <c r="F269" s="11"/>
      <c r="G269" s="11"/>
      <c r="H269" s="11"/>
      <c r="I269" s="11">
        <f t="shared" ref="I269:O269" si="49">I270+I271</f>
        <v>0</v>
      </c>
      <c r="J269" s="11">
        <f t="shared" si="49"/>
        <v>50000</v>
      </c>
      <c r="K269" s="11"/>
      <c r="L269" s="11"/>
      <c r="M269" s="11"/>
      <c r="N269" s="11"/>
      <c r="O269" s="11">
        <f t="shared" si="49"/>
        <v>50000</v>
      </c>
      <c r="P269" s="13">
        <f t="shared" si="46"/>
        <v>2148100</v>
      </c>
    </row>
    <row r="270" spans="1:18" s="1" customFormat="1" ht="27" hidden="1" customHeight="1" x14ac:dyDescent="0.2">
      <c r="A270" s="36" t="s">
        <v>455</v>
      </c>
      <c r="B270" s="22" t="s">
        <v>456</v>
      </c>
      <c r="C270" s="28" t="s">
        <v>1</v>
      </c>
      <c r="D270" s="5" t="s">
        <v>454</v>
      </c>
      <c r="E270" s="11">
        <f t="shared" si="44"/>
        <v>0</v>
      </c>
      <c r="F270" s="17"/>
      <c r="G270" s="17"/>
      <c r="H270" s="17"/>
      <c r="I270" s="17"/>
      <c r="J270" s="11">
        <f t="shared" si="47"/>
        <v>0</v>
      </c>
      <c r="K270" s="17"/>
      <c r="L270" s="17"/>
      <c r="M270" s="17"/>
      <c r="N270" s="17"/>
      <c r="O270" s="12">
        <f>K270</f>
        <v>0</v>
      </c>
      <c r="P270" s="16">
        <f t="shared" si="46"/>
        <v>0</v>
      </c>
    </row>
    <row r="271" spans="1:18" s="1" customFormat="1" ht="17.25" customHeight="1" x14ac:dyDescent="0.2">
      <c r="A271" s="36" t="s">
        <v>501</v>
      </c>
      <c r="B271" s="22" t="s">
        <v>502</v>
      </c>
      <c r="C271" s="28" t="s">
        <v>1</v>
      </c>
      <c r="D271" s="47" t="s">
        <v>503</v>
      </c>
      <c r="E271" s="11">
        <f t="shared" si="44"/>
        <v>2098100</v>
      </c>
      <c r="F271" s="17">
        <v>2098100</v>
      </c>
      <c r="G271" s="17">
        <v>1240000</v>
      </c>
      <c r="H271" s="17"/>
      <c r="I271" s="17"/>
      <c r="J271" s="11">
        <f t="shared" si="47"/>
        <v>50000</v>
      </c>
      <c r="K271" s="17">
        <v>50000</v>
      </c>
      <c r="L271" s="17"/>
      <c r="M271" s="17"/>
      <c r="N271" s="17"/>
      <c r="O271" s="12">
        <f>K271</f>
        <v>50000</v>
      </c>
      <c r="P271" s="16">
        <f t="shared" si="46"/>
        <v>2148100</v>
      </c>
    </row>
    <row r="272" spans="1:18" ht="25.5" x14ac:dyDescent="0.2">
      <c r="A272" s="62">
        <v>1200000</v>
      </c>
      <c r="B272" s="6"/>
      <c r="C272" s="7"/>
      <c r="D272" s="31" t="s">
        <v>67</v>
      </c>
      <c r="E272" s="25">
        <f>E274</f>
        <v>132358651</v>
      </c>
      <c r="F272" s="25">
        <f t="shared" ref="F272:O272" si="50">F274</f>
        <v>132358651</v>
      </c>
      <c r="G272" s="25">
        <f t="shared" si="50"/>
        <v>4280000</v>
      </c>
      <c r="H272" s="25">
        <f t="shared" si="50"/>
        <v>9601000</v>
      </c>
      <c r="I272" s="25">
        <f t="shared" si="50"/>
        <v>0</v>
      </c>
      <c r="J272" s="25">
        <f t="shared" si="50"/>
        <v>9130890</v>
      </c>
      <c r="K272" s="25">
        <f t="shared" si="50"/>
        <v>9130890</v>
      </c>
      <c r="L272" s="25">
        <f t="shared" si="50"/>
        <v>0</v>
      </c>
      <c r="M272" s="25">
        <f t="shared" si="50"/>
        <v>0</v>
      </c>
      <c r="N272" s="25">
        <f t="shared" si="50"/>
        <v>0</v>
      </c>
      <c r="O272" s="25">
        <f t="shared" si="50"/>
        <v>9130890</v>
      </c>
      <c r="P272" s="13">
        <f t="shared" si="46"/>
        <v>141489541</v>
      </c>
      <c r="R272" s="34"/>
    </row>
    <row r="273" spans="1:16" s="1" customFormat="1" hidden="1" x14ac:dyDescent="0.2">
      <c r="A273" s="36"/>
      <c r="B273" s="18"/>
      <c r="C273" s="3"/>
      <c r="D273" s="15" t="s">
        <v>483</v>
      </c>
      <c r="E273" s="25">
        <f>F273+I273</f>
        <v>0</v>
      </c>
      <c r="F273" s="17">
        <f>F289+F298</f>
        <v>0</v>
      </c>
      <c r="G273" s="17"/>
      <c r="H273" s="17"/>
      <c r="I273" s="17"/>
      <c r="J273" s="17">
        <f>K273+L273</f>
        <v>0</v>
      </c>
      <c r="K273" s="17">
        <f>K279+K285</f>
        <v>0</v>
      </c>
      <c r="L273" s="17"/>
      <c r="M273" s="17"/>
      <c r="N273" s="17"/>
      <c r="O273" s="17">
        <f>K273</f>
        <v>0</v>
      </c>
      <c r="P273" s="16">
        <f t="shared" si="46"/>
        <v>0</v>
      </c>
    </row>
    <row r="274" spans="1:16" ht="25.5" x14ac:dyDescent="0.2">
      <c r="A274" s="41" t="s">
        <v>296</v>
      </c>
      <c r="B274" s="8"/>
      <c r="C274" s="7"/>
      <c r="D274" s="15" t="s">
        <v>106</v>
      </c>
      <c r="E274" s="25">
        <f>E275+E276+E277+E287+E288+E293+E284+E295+E300+E301+E302+E303+E291+E290+E304+E286+E305+E296+E280</f>
        <v>132358651</v>
      </c>
      <c r="F274" s="40">
        <f>F275+F276+F277+F287+F288+F293+F284+F295+F300+F301+F302+F303+F291+F290+F304+F286+F305+F296+F280</f>
        <v>132358651</v>
      </c>
      <c r="G274" s="25">
        <f>G275+G276+G277+G287+G288+G293+G284+G295+G300+G301+G302+G303+G291+G290+G304+G286+G305+G296</f>
        <v>4280000</v>
      </c>
      <c r="H274" s="25">
        <f>H275+H276+H277+H287+H288+H293+H284+H295+H300+H301+H302+H303+H291+H290+H304+H286+H305+H296</f>
        <v>9601000</v>
      </c>
      <c r="I274" s="25">
        <f>I275+I276+I277+I287+I288+I293+I284+I295+I300+I301+I302+I303+I291+I290+I304+I286+I305+I296</f>
        <v>0</v>
      </c>
      <c r="J274" s="25">
        <f>J275+J276+J277+J287+J288+J293+J284+J295+J300+J301+J302+J303+J291+J290+J286+J283+J278+J294+J280+J281</f>
        <v>9130890</v>
      </c>
      <c r="K274" s="29">
        <f>K275+K276+K277+K287+K288+K293+K284+K295+K300+K301+K302+K303+K291+K290+K286+K283+K278+K294+K280+K281</f>
        <v>9130890</v>
      </c>
      <c r="L274" s="25">
        <f>L275+L276+L277+L287+L288+L293+L284+L295+L300+L301+L302+L303+L291+L290+L286+L283+L278+L294</f>
        <v>0</v>
      </c>
      <c r="M274" s="25">
        <f>M275+M276+M277+M287+M288+M293+M284+M295+M300+M301+M302+M303+M291+M290+M286+M283+M278+M294</f>
        <v>0</v>
      </c>
      <c r="N274" s="25">
        <f>N275+N276+N277+N287+N288+N293+N284+N295+N300+N301+N302+N303+N291+N290+N286+N283+N278+N294</f>
        <v>0</v>
      </c>
      <c r="O274" s="29">
        <f>O275+O276+O277+O287+O288+O293+O284+O295+O300+O301+O302+O303+O291+O290+O286+O283+O278+O294+O280+O281</f>
        <v>9130890</v>
      </c>
      <c r="P274" s="25">
        <f>P275+P276+P277+P287+P288+P293+P284+P295+P300+P301+P302+P303+P291+P290+P304+P286+P305+P278+P283+P296+P294+P280+P281</f>
        <v>141489541</v>
      </c>
    </row>
    <row r="275" spans="1:16" ht="25.5" x14ac:dyDescent="0.2">
      <c r="A275" s="41" t="s">
        <v>297</v>
      </c>
      <c r="B275" s="4" t="s">
        <v>190</v>
      </c>
      <c r="C275" s="4" t="s">
        <v>116</v>
      </c>
      <c r="D275" s="14" t="s">
        <v>615</v>
      </c>
      <c r="E275" s="11">
        <f t="shared" ref="E275:E299" si="51">F275+I275</f>
        <v>5550700</v>
      </c>
      <c r="F275" s="12">
        <v>5550700</v>
      </c>
      <c r="G275" s="12">
        <v>4280000</v>
      </c>
      <c r="H275" s="12">
        <v>101000</v>
      </c>
      <c r="I275" s="12"/>
      <c r="J275" s="11">
        <f>L275+O275</f>
        <v>0</v>
      </c>
      <c r="K275" s="12"/>
      <c r="L275" s="12"/>
      <c r="M275" s="12"/>
      <c r="N275" s="12"/>
      <c r="O275" s="12">
        <f t="shared" ref="O275:O303" si="52">K275</f>
        <v>0</v>
      </c>
      <c r="P275" s="13">
        <f t="shared" ref="P275:P291" si="53">E275+J275</f>
        <v>5550700</v>
      </c>
    </row>
    <row r="276" spans="1:16" ht="25.5" hidden="1" x14ac:dyDescent="0.2">
      <c r="A276" s="41">
        <v>4016010</v>
      </c>
      <c r="B276" s="4" t="s">
        <v>53</v>
      </c>
      <c r="C276" s="4" t="s">
        <v>119</v>
      </c>
      <c r="D276" s="75" t="s">
        <v>75</v>
      </c>
      <c r="E276" s="11">
        <f t="shared" si="51"/>
        <v>0</v>
      </c>
      <c r="F276" s="12"/>
      <c r="G276" s="12"/>
      <c r="H276" s="12"/>
      <c r="I276" s="12"/>
      <c r="J276" s="11">
        <f t="shared" ref="J276:J300" si="54">L276+O276</f>
        <v>0</v>
      </c>
      <c r="K276" s="12"/>
      <c r="L276" s="12"/>
      <c r="M276" s="12"/>
      <c r="N276" s="12"/>
      <c r="O276" s="12">
        <f t="shared" si="52"/>
        <v>0</v>
      </c>
      <c r="P276" s="13">
        <f t="shared" si="53"/>
        <v>0</v>
      </c>
    </row>
    <row r="277" spans="1:16" hidden="1" x14ac:dyDescent="0.2">
      <c r="A277" s="41" t="s">
        <v>299</v>
      </c>
      <c r="B277" s="4" t="s">
        <v>53</v>
      </c>
      <c r="C277" s="4"/>
      <c r="D277" s="85" t="s">
        <v>298</v>
      </c>
      <c r="E277" s="11">
        <f t="shared" si="51"/>
        <v>0</v>
      </c>
      <c r="F277" s="11"/>
      <c r="G277" s="11"/>
      <c r="H277" s="11"/>
      <c r="I277" s="11">
        <f>I278+I281+I282+I280+I283</f>
        <v>0</v>
      </c>
      <c r="J277" s="11">
        <f t="shared" si="54"/>
        <v>0</v>
      </c>
      <c r="K277" s="11"/>
      <c r="L277" s="11"/>
      <c r="M277" s="11"/>
      <c r="N277" s="11">
        <f>N278+N281+N282+N280+N283</f>
        <v>0</v>
      </c>
      <c r="O277" s="12">
        <f t="shared" si="52"/>
        <v>0</v>
      </c>
      <c r="P277" s="13">
        <f t="shared" si="53"/>
        <v>0</v>
      </c>
    </row>
    <row r="278" spans="1:16" s="1" customFormat="1" hidden="1" x14ac:dyDescent="0.2">
      <c r="A278" s="36" t="s">
        <v>302</v>
      </c>
      <c r="B278" s="3" t="s">
        <v>301</v>
      </c>
      <c r="C278" s="3" t="s">
        <v>119</v>
      </c>
      <c r="D278" s="19" t="s">
        <v>300</v>
      </c>
      <c r="E278" s="10">
        <f t="shared" si="51"/>
        <v>0</v>
      </c>
      <c r="F278" s="17"/>
      <c r="G278" s="17"/>
      <c r="H278" s="17"/>
      <c r="I278" s="17"/>
      <c r="J278" s="11">
        <f t="shared" si="54"/>
        <v>0</v>
      </c>
      <c r="K278" s="17"/>
      <c r="L278" s="17"/>
      <c r="M278" s="17"/>
      <c r="N278" s="17"/>
      <c r="O278" s="12">
        <f t="shared" si="52"/>
        <v>0</v>
      </c>
      <c r="P278" s="13">
        <f t="shared" si="53"/>
        <v>0</v>
      </c>
    </row>
    <row r="279" spans="1:16" s="1" customFormat="1" hidden="1" x14ac:dyDescent="0.2">
      <c r="A279" s="36"/>
      <c r="B279" s="3"/>
      <c r="C279" s="3"/>
      <c r="D279" s="15" t="s">
        <v>483</v>
      </c>
      <c r="E279" s="10"/>
      <c r="F279" s="17"/>
      <c r="G279" s="17"/>
      <c r="H279" s="17"/>
      <c r="I279" s="17"/>
      <c r="J279" s="11">
        <f t="shared" si="54"/>
        <v>0</v>
      </c>
      <c r="K279" s="17"/>
      <c r="L279" s="17"/>
      <c r="M279" s="17"/>
      <c r="N279" s="17"/>
      <c r="O279" s="12">
        <f t="shared" si="52"/>
        <v>0</v>
      </c>
      <c r="P279" s="13">
        <f t="shared" si="53"/>
        <v>0</v>
      </c>
    </row>
    <row r="280" spans="1:16" hidden="1" x14ac:dyDescent="0.2">
      <c r="A280" s="41" t="s">
        <v>461</v>
      </c>
      <c r="B280" s="4" t="s">
        <v>462</v>
      </c>
      <c r="C280" s="4" t="s">
        <v>68</v>
      </c>
      <c r="D280" s="21" t="s">
        <v>463</v>
      </c>
      <c r="E280" s="11">
        <f t="shared" si="51"/>
        <v>0</v>
      </c>
      <c r="F280" s="12"/>
      <c r="G280" s="12"/>
      <c r="H280" s="12"/>
      <c r="I280" s="12"/>
      <c r="J280" s="11">
        <f t="shared" si="54"/>
        <v>0</v>
      </c>
      <c r="K280" s="12"/>
      <c r="L280" s="12"/>
      <c r="M280" s="12"/>
      <c r="N280" s="12"/>
      <c r="O280" s="12">
        <f t="shared" si="52"/>
        <v>0</v>
      </c>
      <c r="P280" s="13">
        <f t="shared" si="53"/>
        <v>0</v>
      </c>
    </row>
    <row r="281" spans="1:16" s="1" customFormat="1" hidden="1" x14ac:dyDescent="0.2">
      <c r="A281" s="36" t="s">
        <v>304</v>
      </c>
      <c r="B281" s="3" t="s">
        <v>303</v>
      </c>
      <c r="C281" s="3" t="s">
        <v>68</v>
      </c>
      <c r="D281" s="19" t="s">
        <v>305</v>
      </c>
      <c r="E281" s="10">
        <f t="shared" si="51"/>
        <v>0</v>
      </c>
      <c r="F281" s="17"/>
      <c r="G281" s="17"/>
      <c r="H281" s="17"/>
      <c r="I281" s="17"/>
      <c r="J281" s="11">
        <f t="shared" si="54"/>
        <v>0</v>
      </c>
      <c r="K281" s="17"/>
      <c r="L281" s="17"/>
      <c r="M281" s="17"/>
      <c r="N281" s="17"/>
      <c r="O281" s="12">
        <f t="shared" si="52"/>
        <v>0</v>
      </c>
      <c r="P281" s="13">
        <f t="shared" si="53"/>
        <v>0</v>
      </c>
    </row>
    <row r="282" spans="1:16" s="1" customFormat="1" ht="25.5" hidden="1" x14ac:dyDescent="0.2">
      <c r="A282" s="36" t="s">
        <v>309</v>
      </c>
      <c r="B282" s="3" t="s">
        <v>310</v>
      </c>
      <c r="C282" s="3" t="s">
        <v>68</v>
      </c>
      <c r="D282" s="19" t="s">
        <v>160</v>
      </c>
      <c r="E282" s="10">
        <f t="shared" si="51"/>
        <v>0</v>
      </c>
      <c r="F282" s="17"/>
      <c r="G282" s="17"/>
      <c r="H282" s="17"/>
      <c r="I282" s="17"/>
      <c r="J282" s="11">
        <f t="shared" si="54"/>
        <v>0</v>
      </c>
      <c r="K282" s="17"/>
      <c r="L282" s="17"/>
      <c r="M282" s="17"/>
      <c r="N282" s="17"/>
      <c r="O282" s="12">
        <f t="shared" si="52"/>
        <v>0</v>
      </c>
      <c r="P282" s="13">
        <f t="shared" si="53"/>
        <v>0</v>
      </c>
    </row>
    <row r="283" spans="1:16" ht="25.5" x14ac:dyDescent="0.2">
      <c r="A283" s="41" t="s">
        <v>359</v>
      </c>
      <c r="B283" s="4" t="s">
        <v>357</v>
      </c>
      <c r="C283" s="4" t="s">
        <v>68</v>
      </c>
      <c r="D283" s="21" t="s">
        <v>358</v>
      </c>
      <c r="E283" s="11">
        <f t="shared" si="51"/>
        <v>0</v>
      </c>
      <c r="F283" s="12"/>
      <c r="G283" s="12"/>
      <c r="H283" s="12"/>
      <c r="I283" s="12"/>
      <c r="J283" s="11">
        <f t="shared" si="54"/>
        <v>625000</v>
      </c>
      <c r="K283" s="12">
        <v>625000</v>
      </c>
      <c r="L283" s="12"/>
      <c r="M283" s="12"/>
      <c r="N283" s="12"/>
      <c r="O283" s="12">
        <f t="shared" ref="O283:O288" si="55">K283</f>
        <v>625000</v>
      </c>
      <c r="P283" s="13">
        <f t="shared" si="53"/>
        <v>625000</v>
      </c>
    </row>
    <row r="284" spans="1:16" ht="29.25" hidden="1" customHeight="1" x14ac:dyDescent="0.2">
      <c r="A284" s="41" t="s">
        <v>314</v>
      </c>
      <c r="B284" s="86">
        <v>6020</v>
      </c>
      <c r="C284" s="4" t="s">
        <v>68</v>
      </c>
      <c r="D284" s="5" t="s">
        <v>313</v>
      </c>
      <c r="E284" s="10">
        <f t="shared" si="51"/>
        <v>0</v>
      </c>
      <c r="F284" s="12"/>
      <c r="G284" s="12"/>
      <c r="H284" s="12"/>
      <c r="I284" s="12"/>
      <c r="J284" s="11">
        <f t="shared" si="54"/>
        <v>0</v>
      </c>
      <c r="K284" s="12"/>
      <c r="L284" s="12"/>
      <c r="M284" s="12"/>
      <c r="N284" s="12"/>
      <c r="O284" s="12">
        <f t="shared" si="55"/>
        <v>0</v>
      </c>
      <c r="P284" s="13">
        <f>E284+J284</f>
        <v>0</v>
      </c>
    </row>
    <row r="285" spans="1:16" s="1" customFormat="1" hidden="1" x14ac:dyDescent="0.2">
      <c r="A285" s="36"/>
      <c r="B285" s="87"/>
      <c r="C285" s="3"/>
      <c r="D285" s="15" t="s">
        <v>483</v>
      </c>
      <c r="E285" s="10">
        <f t="shared" si="51"/>
        <v>0</v>
      </c>
      <c r="F285" s="17"/>
      <c r="G285" s="17"/>
      <c r="H285" s="17"/>
      <c r="I285" s="17"/>
      <c r="J285" s="10">
        <f t="shared" si="54"/>
        <v>0</v>
      </c>
      <c r="K285" s="17"/>
      <c r="L285" s="17"/>
      <c r="M285" s="17"/>
      <c r="N285" s="17"/>
      <c r="O285" s="17">
        <f t="shared" si="55"/>
        <v>0</v>
      </c>
      <c r="P285" s="16">
        <f>E285+J285</f>
        <v>0</v>
      </c>
    </row>
    <row r="286" spans="1:16" ht="25.5" hidden="1" x14ac:dyDescent="0.2">
      <c r="A286" s="41" t="s">
        <v>314</v>
      </c>
      <c r="B286" s="86">
        <v>6020</v>
      </c>
      <c r="C286" s="4" t="s">
        <v>68</v>
      </c>
      <c r="D286" s="15" t="s">
        <v>313</v>
      </c>
      <c r="E286" s="10">
        <f t="shared" si="51"/>
        <v>0</v>
      </c>
      <c r="F286" s="12"/>
      <c r="G286" s="12"/>
      <c r="H286" s="12"/>
      <c r="I286" s="12"/>
      <c r="J286" s="11">
        <f t="shared" si="54"/>
        <v>0</v>
      </c>
      <c r="K286" s="12"/>
      <c r="L286" s="12"/>
      <c r="M286" s="12"/>
      <c r="N286" s="12"/>
      <c r="O286" s="12">
        <f t="shared" si="55"/>
        <v>0</v>
      </c>
      <c r="P286" s="13">
        <f>E286+J286</f>
        <v>0</v>
      </c>
    </row>
    <row r="287" spans="1:16" ht="15" customHeight="1" x14ac:dyDescent="0.2">
      <c r="A287" s="41" t="s">
        <v>308</v>
      </c>
      <c r="B287" s="4" t="s">
        <v>307</v>
      </c>
      <c r="C287" s="4" t="s">
        <v>68</v>
      </c>
      <c r="D287" s="21" t="s">
        <v>306</v>
      </c>
      <c r="E287" s="11">
        <f t="shared" si="51"/>
        <v>83067951</v>
      </c>
      <c r="F287" s="88">
        <f>81557951+1510000</f>
        <v>83067951</v>
      </c>
      <c r="G287" s="88"/>
      <c r="H287" s="88">
        <v>9500000</v>
      </c>
      <c r="I287" s="30"/>
      <c r="J287" s="11">
        <f t="shared" si="54"/>
        <v>6166390</v>
      </c>
      <c r="K287" s="30">
        <v>6166390</v>
      </c>
      <c r="L287" s="30"/>
      <c r="M287" s="30"/>
      <c r="N287" s="30"/>
      <c r="O287" s="30">
        <f t="shared" si="55"/>
        <v>6166390</v>
      </c>
      <c r="P287" s="13">
        <f t="shared" si="53"/>
        <v>89234341</v>
      </c>
    </row>
    <row r="288" spans="1:16" ht="29.25" hidden="1" customHeight="1" x14ac:dyDescent="0.2">
      <c r="A288" s="41">
        <v>4016100</v>
      </c>
      <c r="B288" s="81" t="s">
        <v>159</v>
      </c>
      <c r="C288" s="81" t="s">
        <v>68</v>
      </c>
      <c r="D288" s="23" t="s">
        <v>160</v>
      </c>
      <c r="E288" s="11">
        <f t="shared" si="51"/>
        <v>0</v>
      </c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 t="shared" si="55"/>
        <v>0</v>
      </c>
      <c r="P288" s="13">
        <f t="shared" si="53"/>
        <v>0</v>
      </c>
    </row>
    <row r="289" spans="1:16" hidden="1" x14ac:dyDescent="0.2">
      <c r="A289" s="41"/>
      <c r="B289" s="81"/>
      <c r="C289" s="81"/>
      <c r="D289" s="15" t="s">
        <v>483</v>
      </c>
      <c r="E289" s="10">
        <f t="shared" si="51"/>
        <v>0</v>
      </c>
      <c r="F289" s="17"/>
      <c r="G289" s="12"/>
      <c r="H289" s="12"/>
      <c r="I289" s="12"/>
      <c r="J289" s="11"/>
      <c r="K289" s="12"/>
      <c r="L289" s="12"/>
      <c r="M289" s="12"/>
      <c r="N289" s="12"/>
      <c r="O289" s="12"/>
      <c r="P289" s="16">
        <f t="shared" si="53"/>
        <v>0</v>
      </c>
    </row>
    <row r="290" spans="1:16" ht="15.75" hidden="1" x14ac:dyDescent="0.25">
      <c r="A290" s="41" t="s">
        <v>312</v>
      </c>
      <c r="B290" s="81" t="s">
        <v>311</v>
      </c>
      <c r="C290" s="81" t="s">
        <v>68</v>
      </c>
      <c r="D290" s="46" t="s">
        <v>166</v>
      </c>
      <c r="E290" s="11">
        <f t="shared" si="51"/>
        <v>0</v>
      </c>
      <c r="F290" s="12"/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 t="shared" si="52"/>
        <v>0</v>
      </c>
      <c r="P290" s="13">
        <f t="shared" si="53"/>
        <v>0</v>
      </c>
    </row>
    <row r="291" spans="1:16" hidden="1" x14ac:dyDescent="0.2">
      <c r="A291" s="41" t="s">
        <v>317</v>
      </c>
      <c r="B291" s="86">
        <v>6070</v>
      </c>
      <c r="C291" s="4"/>
      <c r="D291" s="23" t="s">
        <v>315</v>
      </c>
      <c r="E291" s="11">
        <f>F291+I291</f>
        <v>0</v>
      </c>
      <c r="F291" s="12"/>
      <c r="G291" s="12"/>
      <c r="H291" s="12"/>
      <c r="I291" s="12">
        <f>I292</f>
        <v>0</v>
      </c>
      <c r="J291" s="11">
        <f t="shared" si="54"/>
        <v>0</v>
      </c>
      <c r="K291" s="12"/>
      <c r="L291" s="12"/>
      <c r="M291" s="12"/>
      <c r="N291" s="12">
        <f>N292</f>
        <v>0</v>
      </c>
      <c r="O291" s="12">
        <f t="shared" si="52"/>
        <v>0</v>
      </c>
      <c r="P291" s="13">
        <f t="shared" si="53"/>
        <v>0</v>
      </c>
    </row>
    <row r="292" spans="1:16" s="1" customFormat="1" ht="114.75" hidden="1" x14ac:dyDescent="0.2">
      <c r="A292" s="36" t="s">
        <v>318</v>
      </c>
      <c r="B292" s="87">
        <v>6072</v>
      </c>
      <c r="C292" s="3" t="s">
        <v>161</v>
      </c>
      <c r="D292" s="69" t="s">
        <v>316</v>
      </c>
      <c r="E292" s="10">
        <f>F292+I292</f>
        <v>0</v>
      </c>
      <c r="F292" s="17"/>
      <c r="G292" s="17"/>
      <c r="H292" s="17"/>
      <c r="I292" s="17"/>
      <c r="J292" s="11">
        <f t="shared" si="54"/>
        <v>0</v>
      </c>
      <c r="K292" s="17"/>
      <c r="L292" s="17"/>
      <c r="M292" s="17"/>
      <c r="N292" s="17"/>
      <c r="O292" s="12">
        <f t="shared" si="52"/>
        <v>0</v>
      </c>
      <c r="P292" s="16"/>
    </row>
    <row r="293" spans="1:16" x14ac:dyDescent="0.2">
      <c r="A293" s="41" t="s">
        <v>336</v>
      </c>
      <c r="B293" s="81" t="s">
        <v>335</v>
      </c>
      <c r="C293" s="81" t="s">
        <v>161</v>
      </c>
      <c r="D293" s="5" t="s">
        <v>334</v>
      </c>
      <c r="E293" s="11">
        <f t="shared" si="51"/>
        <v>0</v>
      </c>
      <c r="F293" s="12"/>
      <c r="G293" s="12"/>
      <c r="H293" s="12"/>
      <c r="I293" s="12"/>
      <c r="J293" s="11">
        <f t="shared" si="54"/>
        <v>500000</v>
      </c>
      <c r="K293" s="12">
        <v>500000</v>
      </c>
      <c r="L293" s="12"/>
      <c r="M293" s="12"/>
      <c r="N293" s="12"/>
      <c r="O293" s="12">
        <f t="shared" si="52"/>
        <v>500000</v>
      </c>
      <c r="P293" s="13">
        <f t="shared" ref="P293:P314" si="56">E293+J293</f>
        <v>500000</v>
      </c>
    </row>
    <row r="294" spans="1:16" hidden="1" x14ac:dyDescent="0.2">
      <c r="A294" s="41" t="s">
        <v>586</v>
      </c>
      <c r="B294" s="81" t="s">
        <v>365</v>
      </c>
      <c r="C294" s="4" t="s">
        <v>366</v>
      </c>
      <c r="D294" s="14" t="s">
        <v>364</v>
      </c>
      <c r="E294" s="11"/>
      <c r="F294" s="12"/>
      <c r="G294" s="12"/>
      <c r="H294" s="12"/>
      <c r="I294" s="12"/>
      <c r="J294" s="11">
        <f t="shared" si="54"/>
        <v>0</v>
      </c>
      <c r="K294" s="12"/>
      <c r="L294" s="12"/>
      <c r="M294" s="12"/>
      <c r="N294" s="12"/>
      <c r="O294" s="12">
        <f>K294</f>
        <v>0</v>
      </c>
      <c r="P294" s="13">
        <f t="shared" si="56"/>
        <v>0</v>
      </c>
    </row>
    <row r="295" spans="1:16" hidden="1" x14ac:dyDescent="0.2">
      <c r="A295" s="41" t="s">
        <v>321</v>
      </c>
      <c r="B295" s="8" t="s">
        <v>320</v>
      </c>
      <c r="C295" s="4"/>
      <c r="D295" s="21" t="s">
        <v>319</v>
      </c>
      <c r="E295" s="11">
        <f t="shared" si="51"/>
        <v>0</v>
      </c>
      <c r="F295" s="12"/>
      <c r="G295" s="12"/>
      <c r="H295" s="12"/>
      <c r="I295" s="12">
        <f>I296+I297+I299</f>
        <v>0</v>
      </c>
      <c r="J295" s="11">
        <f t="shared" si="54"/>
        <v>0</v>
      </c>
      <c r="K295" s="12"/>
      <c r="L295" s="12"/>
      <c r="M295" s="12"/>
      <c r="N295" s="12">
        <f>N296+N297+N299</f>
        <v>0</v>
      </c>
      <c r="O295" s="12">
        <f t="shared" si="52"/>
        <v>0</v>
      </c>
      <c r="P295" s="13">
        <f t="shared" si="56"/>
        <v>0</v>
      </c>
    </row>
    <row r="296" spans="1:16" ht="25.5" x14ac:dyDescent="0.2">
      <c r="A296" s="41" t="s">
        <v>324</v>
      </c>
      <c r="B296" s="89" t="s">
        <v>323</v>
      </c>
      <c r="C296" s="4" t="s">
        <v>69</v>
      </c>
      <c r="D296" s="21" t="s">
        <v>322</v>
      </c>
      <c r="E296" s="11">
        <f t="shared" si="51"/>
        <v>43740000</v>
      </c>
      <c r="F296" s="12">
        <f>20250000+25000000-1510000</f>
        <v>43740000</v>
      </c>
      <c r="G296" s="12"/>
      <c r="H296" s="12"/>
      <c r="I296" s="12"/>
      <c r="J296" s="11">
        <f t="shared" si="54"/>
        <v>0</v>
      </c>
      <c r="K296" s="12"/>
      <c r="L296" s="12"/>
      <c r="M296" s="12"/>
      <c r="N296" s="12"/>
      <c r="O296" s="12">
        <f t="shared" si="52"/>
        <v>0</v>
      </c>
      <c r="P296" s="13">
        <f t="shared" si="56"/>
        <v>43740000</v>
      </c>
    </row>
    <row r="297" spans="1:16" s="1" customFormat="1" ht="25.5" hidden="1" x14ac:dyDescent="0.2">
      <c r="A297" s="36" t="s">
        <v>327</v>
      </c>
      <c r="B297" s="90" t="s">
        <v>326</v>
      </c>
      <c r="C297" s="22" t="s">
        <v>69</v>
      </c>
      <c r="D297" s="24" t="s">
        <v>325</v>
      </c>
      <c r="E297" s="10">
        <f t="shared" si="51"/>
        <v>0</v>
      </c>
      <c r="F297" s="17"/>
      <c r="G297" s="17"/>
      <c r="H297" s="17"/>
      <c r="I297" s="17"/>
      <c r="J297" s="11">
        <f t="shared" si="54"/>
        <v>0</v>
      </c>
      <c r="K297" s="17"/>
      <c r="L297" s="17"/>
      <c r="M297" s="17"/>
      <c r="N297" s="17"/>
      <c r="O297" s="12">
        <f t="shared" si="52"/>
        <v>0</v>
      </c>
      <c r="P297" s="13">
        <f t="shared" si="56"/>
        <v>0</v>
      </c>
    </row>
    <row r="298" spans="1:16" s="1" customFormat="1" hidden="1" x14ac:dyDescent="0.2">
      <c r="A298" s="36"/>
      <c r="B298" s="90"/>
      <c r="C298" s="22"/>
      <c r="D298" s="15" t="s">
        <v>483</v>
      </c>
      <c r="E298" s="10">
        <f t="shared" si="51"/>
        <v>0</v>
      </c>
      <c r="F298" s="17"/>
      <c r="G298" s="17"/>
      <c r="H298" s="17"/>
      <c r="I298" s="17"/>
      <c r="J298" s="11"/>
      <c r="K298" s="17"/>
      <c r="L298" s="17"/>
      <c r="M298" s="17"/>
      <c r="N298" s="17"/>
      <c r="O298" s="12"/>
      <c r="P298" s="13">
        <f t="shared" si="56"/>
        <v>0</v>
      </c>
    </row>
    <row r="299" spans="1:16" s="1" customFormat="1" ht="25.5" hidden="1" customHeight="1" x14ac:dyDescent="0.2">
      <c r="A299" s="36" t="s">
        <v>330</v>
      </c>
      <c r="B299" s="90" t="s">
        <v>329</v>
      </c>
      <c r="C299" s="22" t="s">
        <v>69</v>
      </c>
      <c r="D299" s="24" t="s">
        <v>328</v>
      </c>
      <c r="E299" s="10">
        <f t="shared" si="51"/>
        <v>0</v>
      </c>
      <c r="F299" s="17"/>
      <c r="G299" s="17"/>
      <c r="H299" s="17"/>
      <c r="I299" s="17"/>
      <c r="J299" s="11">
        <f t="shared" si="54"/>
        <v>0</v>
      </c>
      <c r="K299" s="17"/>
      <c r="L299" s="17"/>
      <c r="M299" s="17"/>
      <c r="N299" s="17"/>
      <c r="O299" s="12">
        <f t="shared" si="52"/>
        <v>0</v>
      </c>
      <c r="P299" s="16">
        <f t="shared" si="56"/>
        <v>0</v>
      </c>
    </row>
    <row r="300" spans="1:16" x14ac:dyDescent="0.2">
      <c r="A300" s="41" t="s">
        <v>331</v>
      </c>
      <c r="B300" s="20" t="s">
        <v>179</v>
      </c>
      <c r="C300" s="4" t="s">
        <v>123</v>
      </c>
      <c r="D300" s="47" t="s">
        <v>78</v>
      </c>
      <c r="E300" s="11"/>
      <c r="F300" s="30"/>
      <c r="G300" s="30"/>
      <c r="H300" s="30"/>
      <c r="I300" s="30"/>
      <c r="J300" s="11">
        <f t="shared" si="54"/>
        <v>50000</v>
      </c>
      <c r="K300" s="30">
        <v>50000</v>
      </c>
      <c r="L300" s="30"/>
      <c r="M300" s="30"/>
      <c r="N300" s="30"/>
      <c r="O300" s="12">
        <f t="shared" si="52"/>
        <v>50000</v>
      </c>
      <c r="P300" s="13">
        <f t="shared" si="56"/>
        <v>50000</v>
      </c>
    </row>
    <row r="301" spans="1:16" hidden="1" x14ac:dyDescent="0.2">
      <c r="A301" s="41" t="s">
        <v>333</v>
      </c>
      <c r="B301" s="8" t="s">
        <v>178</v>
      </c>
      <c r="C301" s="4" t="s">
        <v>122</v>
      </c>
      <c r="D301" s="21" t="s">
        <v>332</v>
      </c>
      <c r="E301" s="11"/>
      <c r="F301" s="12"/>
      <c r="G301" s="12"/>
      <c r="H301" s="12"/>
      <c r="I301" s="12"/>
      <c r="J301" s="11">
        <f>L301+O301</f>
        <v>0</v>
      </c>
      <c r="K301" s="12"/>
      <c r="L301" s="12"/>
      <c r="M301" s="12"/>
      <c r="N301" s="12"/>
      <c r="O301" s="12">
        <f t="shared" si="52"/>
        <v>0</v>
      </c>
      <c r="P301" s="13">
        <f t="shared" si="56"/>
        <v>0</v>
      </c>
    </row>
    <row r="302" spans="1:16" hidden="1" x14ac:dyDescent="0.2">
      <c r="A302" s="41" t="s">
        <v>336</v>
      </c>
      <c r="B302" s="8" t="s">
        <v>335</v>
      </c>
      <c r="C302" s="4" t="s">
        <v>161</v>
      </c>
      <c r="D302" s="5" t="s">
        <v>334</v>
      </c>
      <c r="E302" s="11"/>
      <c r="F302" s="30"/>
      <c r="G302" s="30"/>
      <c r="H302" s="30"/>
      <c r="I302" s="30"/>
      <c r="J302" s="11">
        <f>L302+O302</f>
        <v>0</v>
      </c>
      <c r="K302" s="30"/>
      <c r="L302" s="30"/>
      <c r="M302" s="30"/>
      <c r="N302" s="30"/>
      <c r="O302" s="12">
        <f t="shared" si="52"/>
        <v>0</v>
      </c>
      <c r="P302" s="13">
        <f t="shared" si="56"/>
        <v>0</v>
      </c>
    </row>
    <row r="303" spans="1:16" x14ac:dyDescent="0.2">
      <c r="A303" s="41" t="s">
        <v>333</v>
      </c>
      <c r="B303" s="4" t="s">
        <v>178</v>
      </c>
      <c r="C303" s="4" t="s">
        <v>122</v>
      </c>
      <c r="D303" s="72" t="s">
        <v>332</v>
      </c>
      <c r="E303" s="11">
        <f>F303+I303</f>
        <v>0</v>
      </c>
      <c r="F303" s="11"/>
      <c r="G303" s="11"/>
      <c r="H303" s="11"/>
      <c r="I303" s="11"/>
      <c r="J303" s="11">
        <f>L303+O303</f>
        <v>1789500</v>
      </c>
      <c r="K303" s="11">
        <f>750000+1039500</f>
        <v>1789500</v>
      </c>
      <c r="L303" s="11"/>
      <c r="M303" s="11"/>
      <c r="N303" s="11"/>
      <c r="O303" s="12">
        <f t="shared" si="52"/>
        <v>1789500</v>
      </c>
      <c r="P303" s="13">
        <f t="shared" si="56"/>
        <v>1789500</v>
      </c>
    </row>
    <row r="304" spans="1:16" hidden="1" x14ac:dyDescent="0.2">
      <c r="A304" s="41" t="s">
        <v>563</v>
      </c>
      <c r="B304" s="4" t="s">
        <v>187</v>
      </c>
      <c r="C304" s="3" t="s">
        <v>122</v>
      </c>
      <c r="D304" s="73" t="s">
        <v>188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6"/>
        <v>0</v>
      </c>
    </row>
    <row r="305" spans="1:18" ht="25.5" hidden="1" x14ac:dyDescent="0.2">
      <c r="A305" s="41" t="s">
        <v>569</v>
      </c>
      <c r="B305" s="4" t="s">
        <v>181</v>
      </c>
      <c r="C305" s="4" t="s">
        <v>125</v>
      </c>
      <c r="D305" s="82" t="s">
        <v>392</v>
      </c>
      <c r="E305" s="11">
        <f>F305+I305</f>
        <v>0</v>
      </c>
      <c r="F305" s="11"/>
      <c r="G305" s="11"/>
      <c r="H305" s="11"/>
      <c r="I305" s="11"/>
      <c r="J305" s="11">
        <f>L305+O305</f>
        <v>0</v>
      </c>
      <c r="K305" s="11"/>
      <c r="L305" s="11"/>
      <c r="M305" s="11"/>
      <c r="N305" s="11"/>
      <c r="O305" s="12"/>
      <c r="P305" s="13">
        <f t="shared" si="56"/>
        <v>0</v>
      </c>
    </row>
    <row r="306" spans="1:18" ht="25.5" x14ac:dyDescent="0.2">
      <c r="A306" s="62">
        <v>1500000</v>
      </c>
      <c r="B306" s="6"/>
      <c r="C306" s="7"/>
      <c r="D306" s="31" t="s">
        <v>71</v>
      </c>
      <c r="E306" s="25">
        <f>E315</f>
        <v>4455900</v>
      </c>
      <c r="F306" s="25">
        <f t="shared" ref="F306:O306" si="57">F315</f>
        <v>4455900</v>
      </c>
      <c r="G306" s="25">
        <f t="shared" si="57"/>
        <v>3032700</v>
      </c>
      <c r="H306" s="25">
        <f t="shared" si="57"/>
        <v>20000</v>
      </c>
      <c r="I306" s="25">
        <f t="shared" si="57"/>
        <v>0</v>
      </c>
      <c r="J306" s="25">
        <f t="shared" si="57"/>
        <v>146368863</v>
      </c>
      <c r="K306" s="25">
        <f>K315</f>
        <v>146368863</v>
      </c>
      <c r="L306" s="25">
        <f t="shared" si="57"/>
        <v>0</v>
      </c>
      <c r="M306" s="25">
        <f t="shared" si="57"/>
        <v>0</v>
      </c>
      <c r="N306" s="25">
        <f t="shared" si="57"/>
        <v>0</v>
      </c>
      <c r="O306" s="25">
        <f t="shared" si="57"/>
        <v>146368863</v>
      </c>
      <c r="P306" s="13">
        <f t="shared" si="56"/>
        <v>150824763</v>
      </c>
      <c r="R306" s="34"/>
    </row>
    <row r="307" spans="1:18" s="1" customFormat="1" hidden="1" x14ac:dyDescent="0.2">
      <c r="A307" s="36"/>
      <c r="B307" s="18"/>
      <c r="C307" s="3"/>
      <c r="D307" s="15" t="s">
        <v>483</v>
      </c>
      <c r="E307" s="17"/>
      <c r="F307" s="17"/>
      <c r="G307" s="17"/>
      <c r="H307" s="17"/>
      <c r="I307" s="17"/>
      <c r="J307" s="17">
        <f>L307+O307</f>
        <v>0</v>
      </c>
      <c r="K307" s="17">
        <f>K324+K336</f>
        <v>0</v>
      </c>
      <c r="L307" s="17"/>
      <c r="M307" s="17"/>
      <c r="N307" s="17"/>
      <c r="O307" s="17">
        <f>K307</f>
        <v>0</v>
      </c>
      <c r="P307" s="16">
        <f t="shared" si="56"/>
        <v>0</v>
      </c>
    </row>
    <row r="308" spans="1:18" s="1" customFormat="1" ht="51" hidden="1" x14ac:dyDescent="0.2">
      <c r="A308" s="36"/>
      <c r="B308" s="18"/>
      <c r="C308" s="3"/>
      <c r="D308" s="19" t="s">
        <v>572</v>
      </c>
      <c r="E308" s="17"/>
      <c r="F308" s="17"/>
      <c r="G308" s="17"/>
      <c r="H308" s="17"/>
      <c r="I308" s="17"/>
      <c r="J308" s="17">
        <f t="shared" ref="J308:O308" si="58">J335</f>
        <v>0</v>
      </c>
      <c r="K308" s="17">
        <f t="shared" si="58"/>
        <v>0</v>
      </c>
      <c r="L308" s="17">
        <f t="shared" si="58"/>
        <v>0</v>
      </c>
      <c r="M308" s="17">
        <f t="shared" si="58"/>
        <v>0</v>
      </c>
      <c r="N308" s="17">
        <f t="shared" si="58"/>
        <v>0</v>
      </c>
      <c r="O308" s="17">
        <f t="shared" si="58"/>
        <v>0</v>
      </c>
      <c r="P308" s="16">
        <f t="shared" si="56"/>
        <v>0</v>
      </c>
    </row>
    <row r="309" spans="1:18" s="1" customFormat="1" ht="38.25" hidden="1" x14ac:dyDescent="0.2">
      <c r="A309" s="36"/>
      <c r="B309" s="18"/>
      <c r="C309" s="3"/>
      <c r="D309" s="69" t="s">
        <v>575</v>
      </c>
      <c r="E309" s="17"/>
      <c r="F309" s="17"/>
      <c r="G309" s="17"/>
      <c r="H309" s="17"/>
      <c r="I309" s="17"/>
      <c r="J309" s="17">
        <f t="shared" ref="J309:O309" si="59">J346</f>
        <v>0</v>
      </c>
      <c r="K309" s="17">
        <f t="shared" si="59"/>
        <v>0</v>
      </c>
      <c r="L309" s="17">
        <f t="shared" si="59"/>
        <v>0</v>
      </c>
      <c r="M309" s="17">
        <f t="shared" si="59"/>
        <v>0</v>
      </c>
      <c r="N309" s="17">
        <f t="shared" si="59"/>
        <v>0</v>
      </c>
      <c r="O309" s="17">
        <f t="shared" si="59"/>
        <v>0</v>
      </c>
      <c r="P309" s="16">
        <f t="shared" si="56"/>
        <v>0</v>
      </c>
    </row>
    <row r="310" spans="1:18" s="1" customFormat="1" ht="38.25" hidden="1" x14ac:dyDescent="0.2">
      <c r="A310" s="36"/>
      <c r="B310" s="18"/>
      <c r="C310" s="3"/>
      <c r="D310" s="19" t="s">
        <v>573</v>
      </c>
      <c r="E310" s="17"/>
      <c r="F310" s="17"/>
      <c r="G310" s="17"/>
      <c r="H310" s="17"/>
      <c r="I310" s="17"/>
      <c r="J310" s="17">
        <f>L310+O310</f>
        <v>0</v>
      </c>
      <c r="K310" s="17">
        <f>K319</f>
        <v>0</v>
      </c>
      <c r="L310" s="17">
        <f>L319</f>
        <v>0</v>
      </c>
      <c r="M310" s="17">
        <f>M319</f>
        <v>0</v>
      </c>
      <c r="N310" s="17">
        <f>N319</f>
        <v>0</v>
      </c>
      <c r="O310" s="17">
        <f>O319</f>
        <v>0</v>
      </c>
      <c r="P310" s="16">
        <f t="shared" si="56"/>
        <v>0</v>
      </c>
    </row>
    <row r="311" spans="1:18" s="1" customFormat="1" ht="25.5" hidden="1" x14ac:dyDescent="0.2">
      <c r="A311" s="36"/>
      <c r="B311" s="18"/>
      <c r="C311" s="3"/>
      <c r="D311" s="35" t="s">
        <v>510</v>
      </c>
      <c r="E311" s="17"/>
      <c r="F311" s="17"/>
      <c r="G311" s="17"/>
      <c r="H311" s="17"/>
      <c r="I311" s="17"/>
      <c r="J311" s="17">
        <f t="shared" ref="J311:O311" si="60">J353</f>
        <v>0</v>
      </c>
      <c r="K311" s="17">
        <f t="shared" si="60"/>
        <v>0</v>
      </c>
      <c r="L311" s="17">
        <f t="shared" si="60"/>
        <v>0</v>
      </c>
      <c r="M311" s="17">
        <f t="shared" si="60"/>
        <v>0</v>
      </c>
      <c r="N311" s="17">
        <f t="shared" si="60"/>
        <v>0</v>
      </c>
      <c r="O311" s="17">
        <f t="shared" si="60"/>
        <v>0</v>
      </c>
      <c r="P311" s="16">
        <f t="shared" si="56"/>
        <v>0</v>
      </c>
    </row>
    <row r="312" spans="1:18" s="1" customFormat="1" ht="38.25" hidden="1" x14ac:dyDescent="0.2">
      <c r="A312" s="36"/>
      <c r="B312" s="18"/>
      <c r="C312" s="3"/>
      <c r="D312" s="24" t="s">
        <v>594</v>
      </c>
      <c r="E312" s="17"/>
      <c r="F312" s="17"/>
      <c r="G312" s="17"/>
      <c r="H312" s="17"/>
      <c r="I312" s="17"/>
      <c r="J312" s="17">
        <f>L312+O312</f>
        <v>0</v>
      </c>
      <c r="K312" s="17">
        <f>O312</f>
        <v>0</v>
      </c>
      <c r="L312" s="17"/>
      <c r="M312" s="17"/>
      <c r="N312" s="17"/>
      <c r="O312" s="17">
        <f>O322</f>
        <v>0</v>
      </c>
      <c r="P312" s="16">
        <f t="shared" si="56"/>
        <v>0</v>
      </c>
    </row>
    <row r="313" spans="1:18" s="1" customFormat="1" ht="40.5" hidden="1" customHeight="1" x14ac:dyDescent="0.2">
      <c r="A313" s="36"/>
      <c r="B313" s="18"/>
      <c r="C313" s="3"/>
      <c r="D313" s="24" t="s">
        <v>601</v>
      </c>
      <c r="E313" s="17"/>
      <c r="F313" s="17"/>
      <c r="G313" s="17"/>
      <c r="H313" s="17"/>
      <c r="I313" s="17"/>
      <c r="J313" s="17">
        <f t="shared" ref="J313:O313" si="61">J355</f>
        <v>0</v>
      </c>
      <c r="K313" s="17">
        <f t="shared" si="61"/>
        <v>0</v>
      </c>
      <c r="L313" s="17">
        <f t="shared" si="61"/>
        <v>0</v>
      </c>
      <c r="M313" s="17">
        <f t="shared" si="61"/>
        <v>0</v>
      </c>
      <c r="N313" s="17">
        <f t="shared" si="61"/>
        <v>0</v>
      </c>
      <c r="O313" s="17">
        <f t="shared" si="61"/>
        <v>0</v>
      </c>
      <c r="P313" s="16">
        <f t="shared" si="56"/>
        <v>0</v>
      </c>
    </row>
    <row r="314" spans="1:18" ht="17.25" hidden="1" customHeight="1" x14ac:dyDescent="0.2">
      <c r="A314" s="62"/>
      <c r="B314" s="6"/>
      <c r="C314" s="7"/>
      <c r="D314" s="24" t="s">
        <v>484</v>
      </c>
      <c r="E314" s="25">
        <f>F314+I314</f>
        <v>0</v>
      </c>
      <c r="F314" s="25"/>
      <c r="G314" s="25"/>
      <c r="H314" s="25"/>
      <c r="I314" s="25"/>
      <c r="J314" s="17">
        <f>L314+O314</f>
        <v>0</v>
      </c>
      <c r="K314" s="17"/>
      <c r="L314" s="17"/>
      <c r="M314" s="17"/>
      <c r="N314" s="17"/>
      <c r="O314" s="33">
        <f>O360</f>
        <v>0</v>
      </c>
      <c r="P314" s="13">
        <f t="shared" si="56"/>
        <v>0</v>
      </c>
    </row>
    <row r="315" spans="1:18" ht="17.25" customHeight="1" x14ac:dyDescent="0.2">
      <c r="A315" s="41" t="s">
        <v>337</v>
      </c>
      <c r="B315" s="8"/>
      <c r="C315" s="7"/>
      <c r="D315" s="15" t="s">
        <v>71</v>
      </c>
      <c r="E315" s="29">
        <f>E316+E317+E318+E320+E321+E323+E325+E326+E340+E342+E344+E331+E328+E347+E359+E333+E334+E358</f>
        <v>4455900</v>
      </c>
      <c r="F315" s="29">
        <f>F316+F317+F318+F320+F321+F323+F325+F326+F340+F342+F344+F331+F328+F347+F359+F333+F334+F358</f>
        <v>4455900</v>
      </c>
      <c r="G315" s="25">
        <f>G316+G317+G318+G320+G321+G323+G325+G326+G340+G342+G344+G331+G328+G347+G359+G333+G334</f>
        <v>3032700</v>
      </c>
      <c r="H315" s="25">
        <f>H316+H317+H318+H320+H321+H323+H325+H326+H340+H342+H344+H331+H328+H347+H359+H333+H334</f>
        <v>20000</v>
      </c>
      <c r="I315" s="25">
        <f>I316+I317+I318+I320+I321+I323+I325+I326+I340+I342+I344+I331+I328+I347+I359+I333+I334</f>
        <v>0</v>
      </c>
      <c r="J315" s="29">
        <f>J316+J318+J320+J323+J330+J331+J332+J333+J337+J338+J347+J349+J352+J356+J359+J317+J329+J321+J327+J354+J339</f>
        <v>146368863</v>
      </c>
      <c r="K315" s="29">
        <f>K316+K318+K320+K323+K330+K331+K332+K333+K337+K338+K347+K349+K352+K356+K359+K317+K329+K321+K327+K354+K339</f>
        <v>146368863</v>
      </c>
      <c r="L315" s="25">
        <f>L316+L318+L320+L323+L330+L331+L332+L333+L337+L338+L347+L349+L352+L356+L359</f>
        <v>0</v>
      </c>
      <c r="M315" s="25">
        <f>M316+M318+M320+M323+M330+M331+M332+M333+M337+M338+M347+M349+M352+M356+M359</f>
        <v>0</v>
      </c>
      <c r="N315" s="25">
        <f>N316+N318+N320+N323+N330+N331+N332+N333+N337+N338+N347+N349+N352+N356+N359</f>
        <v>0</v>
      </c>
      <c r="O315" s="29">
        <f>O316+O318+O320+O323+O330+O331+O332+O333+O337+O338+O347+O349+O352+O356+O359+O317+O329+O321+O327+O354+O339</f>
        <v>146368863</v>
      </c>
      <c r="P315" s="29">
        <f>P316+P318+P320+P323+P330+P331+P332+P333+P337+P338+P347+P349+P352+P356+P359+P317+P329+P321+P327+P354+P339</f>
        <v>150824763</v>
      </c>
    </row>
    <row r="316" spans="1:18" ht="25.5" x14ac:dyDescent="0.2">
      <c r="A316" s="41" t="s">
        <v>338</v>
      </c>
      <c r="B316" s="4" t="s">
        <v>190</v>
      </c>
      <c r="C316" s="4" t="s">
        <v>116</v>
      </c>
      <c r="D316" s="14" t="s">
        <v>615</v>
      </c>
      <c r="E316" s="11">
        <f t="shared" ref="E316:E361" si="62">F316+I316</f>
        <v>4455900</v>
      </c>
      <c r="F316" s="12">
        <v>4455900</v>
      </c>
      <c r="G316" s="12">
        <v>3032700</v>
      </c>
      <c r="H316" s="12">
        <v>20000</v>
      </c>
      <c r="I316" s="12"/>
      <c r="J316" s="11">
        <f t="shared" ref="J316:J355" si="63">L316+O316</f>
        <v>500000</v>
      </c>
      <c r="K316" s="12">
        <v>500000</v>
      </c>
      <c r="L316" s="12"/>
      <c r="M316" s="12"/>
      <c r="N316" s="12"/>
      <c r="O316" s="12">
        <f t="shared" ref="O316:O339" si="64">K316</f>
        <v>500000</v>
      </c>
      <c r="P316" s="13">
        <f t="shared" ref="P316:P364" si="65">E316+J316</f>
        <v>4955900</v>
      </c>
    </row>
    <row r="317" spans="1:18" ht="16.5" hidden="1" customHeight="1" x14ac:dyDescent="0.2">
      <c r="A317" s="41" t="s">
        <v>339</v>
      </c>
      <c r="B317" s="20" t="s">
        <v>58</v>
      </c>
      <c r="C317" s="20" t="s">
        <v>132</v>
      </c>
      <c r="D317" s="5" t="s">
        <v>192</v>
      </c>
      <c r="E317" s="11">
        <f t="shared" si="62"/>
        <v>0</v>
      </c>
      <c r="F317" s="12"/>
      <c r="G317" s="12"/>
      <c r="H317" s="12"/>
      <c r="I317" s="12"/>
      <c r="J317" s="11">
        <f t="shared" si="63"/>
        <v>0</v>
      </c>
      <c r="K317" s="12">
        <f>250000-250000</f>
        <v>0</v>
      </c>
      <c r="L317" s="12"/>
      <c r="M317" s="12"/>
      <c r="N317" s="12"/>
      <c r="O317" s="12">
        <f t="shared" si="64"/>
        <v>0</v>
      </c>
      <c r="P317" s="13">
        <f t="shared" si="65"/>
        <v>0</v>
      </c>
    </row>
    <row r="318" spans="1:18" x14ac:dyDescent="0.2">
      <c r="A318" s="41" t="s">
        <v>644</v>
      </c>
      <c r="B318" s="99" t="s">
        <v>621</v>
      </c>
      <c r="C318" s="20" t="s">
        <v>133</v>
      </c>
      <c r="D318" s="21" t="s">
        <v>630</v>
      </c>
      <c r="E318" s="11">
        <f t="shared" si="62"/>
        <v>0</v>
      </c>
      <c r="F318" s="12"/>
      <c r="G318" s="12"/>
      <c r="H318" s="12"/>
      <c r="I318" s="12"/>
      <c r="J318" s="11">
        <f t="shared" si="63"/>
        <v>420242</v>
      </c>
      <c r="K318" s="12">
        <f>409800+10442</f>
        <v>420242</v>
      </c>
      <c r="L318" s="12"/>
      <c r="M318" s="12"/>
      <c r="N318" s="12"/>
      <c r="O318" s="12">
        <f t="shared" si="64"/>
        <v>420242</v>
      </c>
      <c r="P318" s="13">
        <f t="shared" si="65"/>
        <v>420242</v>
      </c>
    </row>
    <row r="319" spans="1:18" ht="38.25" hidden="1" x14ac:dyDescent="0.2">
      <c r="A319" s="41"/>
      <c r="B319" s="20"/>
      <c r="C319" s="20"/>
      <c r="D319" s="19" t="s">
        <v>573</v>
      </c>
      <c r="E319" s="11"/>
      <c r="F319" s="12"/>
      <c r="G319" s="12"/>
      <c r="H319" s="12"/>
      <c r="I319" s="12"/>
      <c r="J319" s="11">
        <f t="shared" si="63"/>
        <v>0</v>
      </c>
      <c r="K319" s="12"/>
      <c r="L319" s="12"/>
      <c r="M319" s="12"/>
      <c r="N319" s="12"/>
      <c r="O319" s="12">
        <f>K319</f>
        <v>0</v>
      </c>
      <c r="P319" s="13">
        <f>E319+J319</f>
        <v>0</v>
      </c>
    </row>
    <row r="320" spans="1:18" ht="25.5" hidden="1" x14ac:dyDescent="0.2">
      <c r="A320" s="41" t="s">
        <v>535</v>
      </c>
      <c r="B320" s="20" t="s">
        <v>117</v>
      </c>
      <c r="C320" s="20" t="s">
        <v>134</v>
      </c>
      <c r="D320" s="21" t="s">
        <v>583</v>
      </c>
      <c r="E320" s="11">
        <f t="shared" si="62"/>
        <v>0</v>
      </c>
      <c r="F320" s="12"/>
      <c r="G320" s="12"/>
      <c r="H320" s="12"/>
      <c r="I320" s="12"/>
      <c r="J320" s="11">
        <f t="shared" si="63"/>
        <v>0</v>
      </c>
      <c r="K320" s="12"/>
      <c r="L320" s="12"/>
      <c r="M320" s="12"/>
      <c r="N320" s="12"/>
      <c r="O320" s="12">
        <f t="shared" si="64"/>
        <v>0</v>
      </c>
      <c r="P320" s="13">
        <f t="shared" si="65"/>
        <v>0</v>
      </c>
    </row>
    <row r="321" spans="1:16" ht="25.5" hidden="1" x14ac:dyDescent="0.2">
      <c r="A321" s="41" t="s">
        <v>596</v>
      </c>
      <c r="B321" s="20" t="s">
        <v>597</v>
      </c>
      <c r="C321" s="20" t="s">
        <v>135</v>
      </c>
      <c r="D321" s="5" t="s">
        <v>595</v>
      </c>
      <c r="E321" s="11">
        <f t="shared" si="62"/>
        <v>0</v>
      </c>
      <c r="F321" s="12"/>
      <c r="G321" s="12"/>
      <c r="H321" s="12"/>
      <c r="I321" s="12"/>
      <c r="J321" s="11">
        <f t="shared" si="63"/>
        <v>0</v>
      </c>
      <c r="K321" s="12"/>
      <c r="L321" s="12"/>
      <c r="M321" s="12"/>
      <c r="N321" s="12"/>
      <c r="O321" s="12">
        <f t="shared" si="64"/>
        <v>0</v>
      </c>
      <c r="P321" s="13">
        <f t="shared" si="65"/>
        <v>0</v>
      </c>
    </row>
    <row r="322" spans="1:16" s="1" customFormat="1" ht="38.25" hidden="1" x14ac:dyDescent="0.2">
      <c r="A322" s="36"/>
      <c r="B322" s="22"/>
      <c r="C322" s="22"/>
      <c r="D322" s="24" t="s">
        <v>594</v>
      </c>
      <c r="E322" s="10"/>
      <c r="F322" s="17"/>
      <c r="G322" s="17"/>
      <c r="H322" s="17"/>
      <c r="I322" s="17"/>
      <c r="J322" s="10">
        <f>L322+O322</f>
        <v>0</v>
      </c>
      <c r="K322" s="17"/>
      <c r="L322" s="17"/>
      <c r="M322" s="17"/>
      <c r="N322" s="17"/>
      <c r="O322" s="17"/>
      <c r="P322" s="13">
        <f t="shared" si="65"/>
        <v>0</v>
      </c>
    </row>
    <row r="323" spans="1:16" x14ac:dyDescent="0.2">
      <c r="A323" s="41" t="s">
        <v>360</v>
      </c>
      <c r="B323" s="4" t="s">
        <v>32</v>
      </c>
      <c r="C323" s="4" t="s">
        <v>2</v>
      </c>
      <c r="D323" s="5" t="s">
        <v>90</v>
      </c>
      <c r="E323" s="11">
        <f>F323+I323</f>
        <v>0</v>
      </c>
      <c r="F323" s="12"/>
      <c r="G323" s="12"/>
      <c r="H323" s="12"/>
      <c r="I323" s="12"/>
      <c r="J323" s="11">
        <f t="shared" si="63"/>
        <v>20000</v>
      </c>
      <c r="K323" s="12">
        <v>20000</v>
      </c>
      <c r="L323" s="12"/>
      <c r="M323" s="12"/>
      <c r="N323" s="12"/>
      <c r="O323" s="12">
        <f t="shared" si="64"/>
        <v>20000</v>
      </c>
      <c r="P323" s="13">
        <f t="shared" si="65"/>
        <v>20000</v>
      </c>
    </row>
    <row r="324" spans="1:16" s="1" customFormat="1" hidden="1" x14ac:dyDescent="0.2">
      <c r="A324" s="36"/>
      <c r="B324" s="3"/>
      <c r="C324" s="3"/>
      <c r="D324" s="24" t="s">
        <v>483</v>
      </c>
      <c r="E324" s="10"/>
      <c r="F324" s="17"/>
      <c r="G324" s="17"/>
      <c r="H324" s="17"/>
      <c r="I324" s="17"/>
      <c r="J324" s="10">
        <f t="shared" si="63"/>
        <v>0</v>
      </c>
      <c r="K324" s="17"/>
      <c r="L324" s="17"/>
      <c r="M324" s="17"/>
      <c r="N324" s="17"/>
      <c r="O324" s="17">
        <f t="shared" si="64"/>
        <v>0</v>
      </c>
      <c r="P324" s="13">
        <f t="shared" si="65"/>
        <v>0</v>
      </c>
    </row>
    <row r="325" spans="1:16" hidden="1" x14ac:dyDescent="0.2">
      <c r="A325" s="41" t="s">
        <v>512</v>
      </c>
      <c r="B325" s="4" t="s">
        <v>200</v>
      </c>
      <c r="C325" s="4" t="s">
        <v>3</v>
      </c>
      <c r="D325" s="5" t="s">
        <v>92</v>
      </c>
      <c r="E325" s="11">
        <f t="shared" si="62"/>
        <v>0</v>
      </c>
      <c r="F325" s="12"/>
      <c r="G325" s="12"/>
      <c r="H325" s="12"/>
      <c r="I325" s="12"/>
      <c r="J325" s="11">
        <f t="shared" si="63"/>
        <v>0</v>
      </c>
      <c r="K325" s="12"/>
      <c r="L325" s="12"/>
      <c r="M325" s="12"/>
      <c r="N325" s="12"/>
      <c r="O325" s="12">
        <f t="shared" si="64"/>
        <v>0</v>
      </c>
      <c r="P325" s="13">
        <f t="shared" si="65"/>
        <v>0</v>
      </c>
    </row>
    <row r="326" spans="1:16" hidden="1" x14ac:dyDescent="0.2">
      <c r="A326" s="41" t="s">
        <v>361</v>
      </c>
      <c r="B326" s="4" t="s">
        <v>208</v>
      </c>
      <c r="C326" s="4"/>
      <c r="D326" s="14" t="s">
        <v>424</v>
      </c>
      <c r="E326" s="11">
        <f t="shared" si="62"/>
        <v>0</v>
      </c>
      <c r="F326" s="12">
        <f>F327</f>
        <v>0</v>
      </c>
      <c r="G326" s="12">
        <f>G327</f>
        <v>0</v>
      </c>
      <c r="H326" s="12">
        <f>H327</f>
        <v>0</v>
      </c>
      <c r="I326" s="12">
        <f>I327</f>
        <v>0</v>
      </c>
      <c r="J326" s="11">
        <f t="shared" si="63"/>
        <v>0</v>
      </c>
      <c r="K326" s="12"/>
      <c r="L326" s="12">
        <f>L327</f>
        <v>0</v>
      </c>
      <c r="M326" s="12">
        <f>M327</f>
        <v>0</v>
      </c>
      <c r="N326" s="12">
        <f>N327</f>
        <v>0</v>
      </c>
      <c r="O326" s="12">
        <f t="shared" si="64"/>
        <v>0</v>
      </c>
      <c r="P326" s="13">
        <f t="shared" si="65"/>
        <v>0</v>
      </c>
    </row>
    <row r="327" spans="1:16" s="1" customFormat="1" ht="25.5" x14ac:dyDescent="0.2">
      <c r="A327" s="36" t="s">
        <v>362</v>
      </c>
      <c r="B327" s="3" t="s">
        <v>211</v>
      </c>
      <c r="C327" s="3" t="s">
        <v>450</v>
      </c>
      <c r="D327" s="15" t="s">
        <v>210</v>
      </c>
      <c r="E327" s="10">
        <f t="shared" si="62"/>
        <v>0</v>
      </c>
      <c r="F327" s="17"/>
      <c r="G327" s="17"/>
      <c r="H327" s="17"/>
      <c r="I327" s="17"/>
      <c r="J327" s="10">
        <f t="shared" si="63"/>
        <v>3000</v>
      </c>
      <c r="K327" s="17">
        <v>3000</v>
      </c>
      <c r="L327" s="17"/>
      <c r="M327" s="17"/>
      <c r="N327" s="17"/>
      <c r="O327" s="12">
        <f t="shared" si="64"/>
        <v>3000</v>
      </c>
      <c r="P327" s="16">
        <f t="shared" si="65"/>
        <v>3000</v>
      </c>
    </row>
    <row r="328" spans="1:16" ht="25.5" hidden="1" x14ac:dyDescent="0.2">
      <c r="A328" s="41" t="s">
        <v>532</v>
      </c>
      <c r="B328" s="4" t="s">
        <v>52</v>
      </c>
      <c r="C328" s="20" t="s">
        <v>65</v>
      </c>
      <c r="D328" s="21" t="s">
        <v>288</v>
      </c>
      <c r="E328" s="11">
        <f t="shared" si="62"/>
        <v>0</v>
      </c>
      <c r="F328" s="12"/>
      <c r="G328" s="12"/>
      <c r="H328" s="12"/>
      <c r="I328" s="12"/>
      <c r="J328" s="11">
        <f t="shared" si="63"/>
        <v>0</v>
      </c>
      <c r="K328" s="12"/>
      <c r="L328" s="12"/>
      <c r="M328" s="12"/>
      <c r="N328" s="12"/>
      <c r="O328" s="12">
        <f t="shared" si="64"/>
        <v>0</v>
      </c>
      <c r="P328" s="13">
        <f t="shared" si="65"/>
        <v>0</v>
      </c>
    </row>
    <row r="329" spans="1:16" ht="25.5" hidden="1" x14ac:dyDescent="0.2">
      <c r="A329" s="41" t="s">
        <v>562</v>
      </c>
      <c r="B329" s="4" t="s">
        <v>138</v>
      </c>
      <c r="C329" s="22" t="s">
        <v>1</v>
      </c>
      <c r="D329" s="5" t="s">
        <v>88</v>
      </c>
      <c r="E329" s="11"/>
      <c r="F329" s="12"/>
      <c r="G329" s="12"/>
      <c r="H329" s="12"/>
      <c r="I329" s="12"/>
      <c r="J329" s="11">
        <f>L329+O329</f>
        <v>0</v>
      </c>
      <c r="K329" s="12"/>
      <c r="L329" s="12"/>
      <c r="M329" s="12"/>
      <c r="N329" s="12"/>
      <c r="O329" s="12">
        <f>K329</f>
        <v>0</v>
      </c>
      <c r="P329" s="13">
        <f>E329+J329</f>
        <v>0</v>
      </c>
    </row>
    <row r="330" spans="1:16" ht="25.5" x14ac:dyDescent="0.2">
      <c r="A330" s="41" t="s">
        <v>589</v>
      </c>
      <c r="B330" s="4" t="s">
        <v>587</v>
      </c>
      <c r="C330" s="22" t="s">
        <v>1</v>
      </c>
      <c r="D330" s="5" t="s">
        <v>588</v>
      </c>
      <c r="E330" s="11"/>
      <c r="F330" s="12"/>
      <c r="G330" s="12"/>
      <c r="H330" s="12"/>
      <c r="I330" s="12"/>
      <c r="J330" s="11">
        <f>L330+O330</f>
        <v>3500000</v>
      </c>
      <c r="K330" s="12">
        <f>6046900-2546900</f>
        <v>3500000</v>
      </c>
      <c r="L330" s="12"/>
      <c r="M330" s="12"/>
      <c r="N330" s="12"/>
      <c r="O330" s="12">
        <f>K330</f>
        <v>3500000</v>
      </c>
      <c r="P330" s="13">
        <f>E330+J330</f>
        <v>3500000</v>
      </c>
    </row>
    <row r="331" spans="1:16" x14ac:dyDescent="0.2">
      <c r="A331" s="41" t="s">
        <v>363</v>
      </c>
      <c r="B331" s="20" t="s">
        <v>307</v>
      </c>
      <c r="C331" s="20" t="s">
        <v>68</v>
      </c>
      <c r="D331" s="21" t="s">
        <v>306</v>
      </c>
      <c r="E331" s="11">
        <f t="shared" si="62"/>
        <v>0</v>
      </c>
      <c r="F331" s="30"/>
      <c r="G331" s="30"/>
      <c r="H331" s="30"/>
      <c r="I331" s="30"/>
      <c r="J331" s="11">
        <f t="shared" si="63"/>
        <v>3793835</v>
      </c>
      <c r="K331" s="30">
        <f>90000+1488000+2215835</f>
        <v>3793835</v>
      </c>
      <c r="L331" s="30"/>
      <c r="M331" s="30"/>
      <c r="N331" s="30"/>
      <c r="O331" s="12">
        <f t="shared" si="64"/>
        <v>3793835</v>
      </c>
      <c r="P331" s="13">
        <f t="shared" si="65"/>
        <v>3793835</v>
      </c>
    </row>
    <row r="332" spans="1:16" hidden="1" x14ac:dyDescent="0.2">
      <c r="A332" s="41" t="s">
        <v>571</v>
      </c>
      <c r="B332" s="20" t="s">
        <v>335</v>
      </c>
      <c r="C332" s="20" t="s">
        <v>161</v>
      </c>
      <c r="D332" s="5" t="s">
        <v>334</v>
      </c>
      <c r="E332" s="11"/>
      <c r="F332" s="30"/>
      <c r="G332" s="30"/>
      <c r="H332" s="30"/>
      <c r="I332" s="30"/>
      <c r="J332" s="11">
        <f t="shared" si="63"/>
        <v>0</v>
      </c>
      <c r="K332" s="30"/>
      <c r="L332" s="30"/>
      <c r="M332" s="30"/>
      <c r="N332" s="30"/>
      <c r="O332" s="12">
        <f>K332</f>
        <v>0</v>
      </c>
      <c r="P332" s="13">
        <f>E332+J332</f>
        <v>0</v>
      </c>
    </row>
    <row r="333" spans="1:16" x14ac:dyDescent="0.2">
      <c r="A333" s="41" t="s">
        <v>367</v>
      </c>
      <c r="B333" s="4" t="s">
        <v>365</v>
      </c>
      <c r="C333" s="4" t="s">
        <v>366</v>
      </c>
      <c r="D333" s="14" t="s">
        <v>364</v>
      </c>
      <c r="E333" s="11">
        <f t="shared" si="62"/>
        <v>0</v>
      </c>
      <c r="F333" s="12"/>
      <c r="G333" s="12"/>
      <c r="H333" s="12"/>
      <c r="I333" s="12"/>
      <c r="J333" s="11">
        <f t="shared" si="63"/>
        <v>5605342</v>
      </c>
      <c r="K333" s="12">
        <f>4011000+1594342</f>
        <v>5605342</v>
      </c>
      <c r="L333" s="12"/>
      <c r="M333" s="12"/>
      <c r="N333" s="12"/>
      <c r="O333" s="12">
        <f t="shared" si="64"/>
        <v>5605342</v>
      </c>
      <c r="P333" s="13">
        <f t="shared" si="65"/>
        <v>5605342</v>
      </c>
    </row>
    <row r="334" spans="1:16" hidden="1" x14ac:dyDescent="0.2">
      <c r="A334" s="41" t="s">
        <v>370</v>
      </c>
      <c r="B334" s="4" t="s">
        <v>369</v>
      </c>
      <c r="C334" s="4"/>
      <c r="D334" s="21" t="s">
        <v>368</v>
      </c>
      <c r="E334" s="11">
        <f t="shared" si="62"/>
        <v>0</v>
      </c>
      <c r="F334" s="12"/>
      <c r="G334" s="12"/>
      <c r="H334" s="12"/>
      <c r="I334" s="12"/>
      <c r="J334" s="11">
        <f t="shared" si="63"/>
        <v>0</v>
      </c>
      <c r="K334" s="12"/>
      <c r="L334" s="12">
        <f>SUM(L337:L339)</f>
        <v>0</v>
      </c>
      <c r="M334" s="12">
        <f>SUM(M337:M339)</f>
        <v>0</v>
      </c>
      <c r="N334" s="12">
        <f>SUM(N337:N339)</f>
        <v>0</v>
      </c>
      <c r="O334" s="12">
        <f>K334</f>
        <v>0</v>
      </c>
      <c r="P334" s="13">
        <f>E334+J334</f>
        <v>0</v>
      </c>
    </row>
    <row r="335" spans="1:16" s="1" customFormat="1" ht="51" hidden="1" x14ac:dyDescent="0.2">
      <c r="A335" s="36"/>
      <c r="B335" s="3"/>
      <c r="C335" s="3"/>
      <c r="D335" s="19" t="s">
        <v>572</v>
      </c>
      <c r="E335" s="10"/>
      <c r="F335" s="17"/>
      <c r="G335" s="17"/>
      <c r="H335" s="17"/>
      <c r="I335" s="17"/>
      <c r="J335" s="11">
        <f t="shared" si="63"/>
        <v>0</v>
      </c>
      <c r="K335" s="17"/>
      <c r="L335" s="17"/>
      <c r="M335" s="17"/>
      <c r="N335" s="17"/>
      <c r="O335" s="12">
        <f>K335</f>
        <v>0</v>
      </c>
      <c r="P335" s="13">
        <f>E335+J335</f>
        <v>0</v>
      </c>
    </row>
    <row r="336" spans="1:16" s="1" customFormat="1" hidden="1" x14ac:dyDescent="0.2">
      <c r="A336" s="36"/>
      <c r="B336" s="3"/>
      <c r="C336" s="3"/>
      <c r="D336" s="19" t="s">
        <v>483</v>
      </c>
      <c r="E336" s="10"/>
      <c r="F336" s="17"/>
      <c r="G336" s="17"/>
      <c r="H336" s="17"/>
      <c r="I336" s="17"/>
      <c r="J336" s="10">
        <f>K336+L336</f>
        <v>0</v>
      </c>
      <c r="K336" s="17"/>
      <c r="L336" s="17"/>
      <c r="M336" s="17"/>
      <c r="N336" s="17"/>
      <c r="O336" s="12">
        <f>K336</f>
        <v>0</v>
      </c>
      <c r="P336" s="13">
        <f>E336+J336</f>
        <v>0</v>
      </c>
    </row>
    <row r="337" spans="1:16" s="1" customFormat="1" hidden="1" x14ac:dyDescent="0.2">
      <c r="A337" s="36" t="s">
        <v>374</v>
      </c>
      <c r="B337" s="3" t="s">
        <v>371</v>
      </c>
      <c r="C337" s="3" t="s">
        <v>366</v>
      </c>
      <c r="D337" s="19" t="s">
        <v>377</v>
      </c>
      <c r="E337" s="11">
        <f t="shared" si="62"/>
        <v>0</v>
      </c>
      <c r="F337" s="17"/>
      <c r="G337" s="17"/>
      <c r="H337" s="17"/>
      <c r="I337" s="17"/>
      <c r="J337" s="11">
        <f t="shared" si="63"/>
        <v>0</v>
      </c>
      <c r="K337" s="17"/>
      <c r="L337" s="17"/>
      <c r="M337" s="17"/>
      <c r="N337" s="17"/>
      <c r="O337" s="12">
        <f t="shared" si="64"/>
        <v>0</v>
      </c>
      <c r="P337" s="13">
        <f t="shared" si="65"/>
        <v>0</v>
      </c>
    </row>
    <row r="338" spans="1:16" s="1" customFormat="1" x14ac:dyDescent="0.2">
      <c r="A338" s="36" t="s">
        <v>375</v>
      </c>
      <c r="B338" s="3" t="s">
        <v>372</v>
      </c>
      <c r="C338" s="3" t="s">
        <v>366</v>
      </c>
      <c r="D338" s="19" t="s">
        <v>378</v>
      </c>
      <c r="E338" s="11">
        <f t="shared" si="62"/>
        <v>0</v>
      </c>
      <c r="F338" s="17"/>
      <c r="G338" s="17"/>
      <c r="H338" s="17"/>
      <c r="I338" s="17"/>
      <c r="J338" s="11">
        <f t="shared" si="63"/>
        <v>70000</v>
      </c>
      <c r="K338" s="17">
        <v>70000</v>
      </c>
      <c r="L338" s="17"/>
      <c r="M338" s="17"/>
      <c r="N338" s="17"/>
      <c r="O338" s="12">
        <f t="shared" si="64"/>
        <v>70000</v>
      </c>
      <c r="P338" s="13">
        <f t="shared" si="65"/>
        <v>70000</v>
      </c>
    </row>
    <row r="339" spans="1:16" s="1" customFormat="1" x14ac:dyDescent="0.2">
      <c r="A339" s="36" t="s">
        <v>376</v>
      </c>
      <c r="B339" s="3" t="s">
        <v>373</v>
      </c>
      <c r="C339" s="3" t="s">
        <v>366</v>
      </c>
      <c r="D339" s="19" t="s">
        <v>379</v>
      </c>
      <c r="E339" s="11">
        <f t="shared" si="62"/>
        <v>0</v>
      </c>
      <c r="F339" s="17"/>
      <c r="G339" s="17"/>
      <c r="H339" s="17"/>
      <c r="I339" s="17"/>
      <c r="J339" s="11">
        <f t="shared" si="63"/>
        <v>5250000</v>
      </c>
      <c r="K339" s="17">
        <f>3849639+1400361</f>
        <v>5250000</v>
      </c>
      <c r="L339" s="17"/>
      <c r="M339" s="17"/>
      <c r="N339" s="17"/>
      <c r="O339" s="12">
        <f t="shared" si="64"/>
        <v>5250000</v>
      </c>
      <c r="P339" s="13">
        <f t="shared" si="65"/>
        <v>5250000</v>
      </c>
    </row>
    <row r="340" spans="1:16" ht="25.5" hidden="1" x14ac:dyDescent="0.2">
      <c r="A340" s="41">
        <v>4713100</v>
      </c>
      <c r="B340" s="4" t="s">
        <v>150</v>
      </c>
      <c r="C340" s="4"/>
      <c r="D340" s="21" t="s">
        <v>13</v>
      </c>
      <c r="E340" s="11">
        <f>E341</f>
        <v>0</v>
      </c>
      <c r="F340" s="11">
        <f t="shared" ref="F340:O340" si="66">F341</f>
        <v>0</v>
      </c>
      <c r="G340" s="11">
        <f t="shared" si="66"/>
        <v>0</v>
      </c>
      <c r="H340" s="11">
        <f t="shared" si="66"/>
        <v>0</v>
      </c>
      <c r="I340" s="11">
        <f t="shared" si="66"/>
        <v>0</v>
      </c>
      <c r="J340" s="11">
        <f t="shared" si="63"/>
        <v>0</v>
      </c>
      <c r="K340" s="11"/>
      <c r="L340" s="11">
        <f t="shared" si="66"/>
        <v>0</v>
      </c>
      <c r="M340" s="11">
        <f t="shared" si="66"/>
        <v>0</v>
      </c>
      <c r="N340" s="11">
        <f t="shared" si="66"/>
        <v>0</v>
      </c>
      <c r="O340" s="11">
        <f t="shared" si="66"/>
        <v>0</v>
      </c>
      <c r="P340" s="13">
        <f t="shared" si="65"/>
        <v>0</v>
      </c>
    </row>
    <row r="341" spans="1:16" s="1" customFormat="1" hidden="1" x14ac:dyDescent="0.2">
      <c r="A341" s="36">
        <v>4713105</v>
      </c>
      <c r="B341" s="3" t="s">
        <v>51</v>
      </c>
      <c r="C341" s="3" t="s">
        <v>58</v>
      </c>
      <c r="D341" s="24" t="s">
        <v>105</v>
      </c>
      <c r="E341" s="10">
        <f>F341+I341</f>
        <v>0</v>
      </c>
      <c r="F341" s="33"/>
      <c r="G341" s="33"/>
      <c r="H341" s="33"/>
      <c r="I341" s="33"/>
      <c r="J341" s="11">
        <f t="shared" si="63"/>
        <v>0</v>
      </c>
      <c r="K341" s="17"/>
      <c r="L341" s="33"/>
      <c r="M341" s="33"/>
      <c r="N341" s="33"/>
      <c r="O341" s="17">
        <f>K341</f>
        <v>0</v>
      </c>
      <c r="P341" s="13">
        <f t="shared" si="65"/>
        <v>0</v>
      </c>
    </row>
    <row r="342" spans="1:16" hidden="1" x14ac:dyDescent="0.2">
      <c r="A342" s="41">
        <v>4715040</v>
      </c>
      <c r="B342" s="20" t="s">
        <v>139</v>
      </c>
      <c r="C342" s="20"/>
      <c r="D342" s="5" t="s">
        <v>140</v>
      </c>
      <c r="E342" s="11">
        <f>E343</f>
        <v>0</v>
      </c>
      <c r="F342" s="11">
        <f t="shared" ref="F342:O342" si="67">F343</f>
        <v>0</v>
      </c>
      <c r="G342" s="11">
        <f t="shared" si="67"/>
        <v>0</v>
      </c>
      <c r="H342" s="11">
        <f t="shared" si="67"/>
        <v>0</v>
      </c>
      <c r="I342" s="11">
        <f t="shared" si="67"/>
        <v>0</v>
      </c>
      <c r="J342" s="11">
        <f t="shared" si="63"/>
        <v>0</v>
      </c>
      <c r="K342" s="11"/>
      <c r="L342" s="11">
        <f t="shared" si="67"/>
        <v>0</v>
      </c>
      <c r="M342" s="11">
        <f t="shared" si="67"/>
        <v>0</v>
      </c>
      <c r="N342" s="11">
        <f t="shared" si="67"/>
        <v>0</v>
      </c>
      <c r="O342" s="11">
        <f t="shared" si="67"/>
        <v>0</v>
      </c>
      <c r="P342" s="13">
        <f t="shared" si="65"/>
        <v>0</v>
      </c>
    </row>
    <row r="343" spans="1:16" hidden="1" x14ac:dyDescent="0.2">
      <c r="A343" s="74">
        <v>4715041</v>
      </c>
      <c r="B343" s="22" t="s">
        <v>141</v>
      </c>
      <c r="C343" s="22" t="s">
        <v>1</v>
      </c>
      <c r="D343" s="24" t="s">
        <v>142</v>
      </c>
      <c r="E343" s="11">
        <f>F343+I343</f>
        <v>0</v>
      </c>
      <c r="F343" s="33"/>
      <c r="G343" s="33"/>
      <c r="H343" s="33"/>
      <c r="I343" s="33"/>
      <c r="J343" s="11">
        <f t="shared" si="63"/>
        <v>0</v>
      </c>
      <c r="K343" s="12"/>
      <c r="L343" s="33"/>
      <c r="M343" s="33"/>
      <c r="N343" s="33"/>
      <c r="O343" s="17">
        <f>K343</f>
        <v>0</v>
      </c>
      <c r="P343" s="13">
        <f t="shared" si="65"/>
        <v>0</v>
      </c>
    </row>
    <row r="344" spans="1:16" hidden="1" x14ac:dyDescent="0.2">
      <c r="A344" s="41">
        <v>4716050</v>
      </c>
      <c r="B344" s="4" t="s">
        <v>151</v>
      </c>
      <c r="C344" s="4"/>
      <c r="D344" s="47" t="s">
        <v>79</v>
      </c>
      <c r="E344" s="11">
        <f t="shared" si="62"/>
        <v>0</v>
      </c>
      <c r="F344" s="30"/>
      <c r="G344" s="30"/>
      <c r="H344" s="30"/>
      <c r="I344" s="30"/>
      <c r="J344" s="11">
        <f t="shared" si="63"/>
        <v>0</v>
      </c>
      <c r="K344" s="30"/>
      <c r="L344" s="30"/>
      <c r="M344" s="30"/>
      <c r="N344" s="30"/>
      <c r="O344" s="30">
        <f>O345</f>
        <v>0</v>
      </c>
      <c r="P344" s="13">
        <f t="shared" si="65"/>
        <v>0</v>
      </c>
    </row>
    <row r="345" spans="1:16" s="1" customFormat="1" hidden="1" x14ac:dyDescent="0.2">
      <c r="A345" s="36">
        <v>4716051</v>
      </c>
      <c r="B345" s="3" t="s">
        <v>54</v>
      </c>
      <c r="C345" s="3" t="s">
        <v>68</v>
      </c>
      <c r="D345" s="91" t="s">
        <v>80</v>
      </c>
      <c r="E345" s="11">
        <f t="shared" si="62"/>
        <v>0</v>
      </c>
      <c r="F345" s="33"/>
      <c r="G345" s="33"/>
      <c r="H345" s="33"/>
      <c r="I345" s="33"/>
      <c r="J345" s="11">
        <f t="shared" si="63"/>
        <v>0</v>
      </c>
      <c r="K345" s="33"/>
      <c r="L345" s="33"/>
      <c r="M345" s="33"/>
      <c r="N345" s="33"/>
      <c r="O345" s="17">
        <f t="shared" ref="O345:O353" si="68">K345</f>
        <v>0</v>
      </c>
      <c r="P345" s="13">
        <f t="shared" si="65"/>
        <v>0</v>
      </c>
    </row>
    <row r="346" spans="1:16" s="1" customFormat="1" ht="38.25" hidden="1" x14ac:dyDescent="0.2">
      <c r="A346" s="36"/>
      <c r="B346" s="3"/>
      <c r="C346" s="3"/>
      <c r="D346" s="69" t="s">
        <v>575</v>
      </c>
      <c r="E346" s="11"/>
      <c r="F346" s="33"/>
      <c r="G346" s="33"/>
      <c r="H346" s="33"/>
      <c r="I346" s="33"/>
      <c r="J346" s="11">
        <f t="shared" si="63"/>
        <v>0</v>
      </c>
      <c r="K346" s="33"/>
      <c r="L346" s="33"/>
      <c r="M346" s="33"/>
      <c r="N346" s="33"/>
      <c r="O346" s="33">
        <f>K346</f>
        <v>0</v>
      </c>
      <c r="P346" s="13">
        <f t="shared" si="65"/>
        <v>0</v>
      </c>
    </row>
    <row r="347" spans="1:16" ht="15.75" customHeight="1" x14ac:dyDescent="0.2">
      <c r="A347" s="41" t="s">
        <v>477</v>
      </c>
      <c r="B347" s="4" t="s">
        <v>478</v>
      </c>
      <c r="C347" s="4" t="s">
        <v>366</v>
      </c>
      <c r="D347" s="21" t="s">
        <v>561</v>
      </c>
      <c r="E347" s="11">
        <f t="shared" si="62"/>
        <v>0</v>
      </c>
      <c r="F347" s="12"/>
      <c r="G347" s="12"/>
      <c r="H347" s="12"/>
      <c r="I347" s="12"/>
      <c r="J347" s="11">
        <f t="shared" si="63"/>
        <v>7282100</v>
      </c>
      <c r="K347" s="12">
        <f>7283100-1000</f>
        <v>7282100</v>
      </c>
      <c r="L347" s="12"/>
      <c r="M347" s="12"/>
      <c r="N347" s="12"/>
      <c r="O347" s="12">
        <f>K347</f>
        <v>7282100</v>
      </c>
      <c r="P347" s="13">
        <f t="shared" si="65"/>
        <v>7282100</v>
      </c>
    </row>
    <row r="348" spans="1:16" ht="27.75" hidden="1" customHeight="1" x14ac:dyDescent="0.2">
      <c r="A348" s="41" t="s">
        <v>491</v>
      </c>
      <c r="B348" s="4" t="s">
        <v>492</v>
      </c>
      <c r="C348" s="4"/>
      <c r="D348" s="21" t="s">
        <v>493</v>
      </c>
      <c r="E348" s="11">
        <f t="shared" si="62"/>
        <v>0</v>
      </c>
      <c r="F348" s="12"/>
      <c r="G348" s="12"/>
      <c r="H348" s="12"/>
      <c r="I348" s="12"/>
      <c r="J348" s="11">
        <f t="shared" si="63"/>
        <v>0</v>
      </c>
      <c r="K348" s="12"/>
      <c r="L348" s="12"/>
      <c r="M348" s="12"/>
      <c r="N348" s="12"/>
      <c r="O348" s="12">
        <f t="shared" si="68"/>
        <v>0</v>
      </c>
      <c r="P348" s="13">
        <f t="shared" si="65"/>
        <v>0</v>
      </c>
    </row>
    <row r="349" spans="1:16" s="1" customFormat="1" ht="25.5" x14ac:dyDescent="0.2">
      <c r="A349" s="36" t="s">
        <v>494</v>
      </c>
      <c r="B349" s="3" t="s">
        <v>495</v>
      </c>
      <c r="C349" s="3" t="s">
        <v>122</v>
      </c>
      <c r="D349" s="19" t="s">
        <v>496</v>
      </c>
      <c r="E349" s="10">
        <f t="shared" si="62"/>
        <v>0</v>
      </c>
      <c r="F349" s="17"/>
      <c r="G349" s="17"/>
      <c r="H349" s="17"/>
      <c r="I349" s="17"/>
      <c r="J349" s="10">
        <f t="shared" si="63"/>
        <v>2500000</v>
      </c>
      <c r="K349" s="17">
        <f>250000+1561657+688343</f>
        <v>2500000</v>
      </c>
      <c r="L349" s="17"/>
      <c r="M349" s="17"/>
      <c r="N349" s="17"/>
      <c r="O349" s="17">
        <f t="shared" si="68"/>
        <v>2500000</v>
      </c>
      <c r="P349" s="16">
        <f t="shared" si="65"/>
        <v>2500000</v>
      </c>
    </row>
    <row r="350" spans="1:16" s="1" customFormat="1" ht="25.5" hidden="1" x14ac:dyDescent="0.2">
      <c r="A350" s="36" t="s">
        <v>520</v>
      </c>
      <c r="B350" s="3" t="s">
        <v>517</v>
      </c>
      <c r="C350" s="3" t="s">
        <v>122</v>
      </c>
      <c r="D350" s="19" t="s">
        <v>518</v>
      </c>
      <c r="E350" s="10">
        <f t="shared" si="62"/>
        <v>0</v>
      </c>
      <c r="F350" s="17"/>
      <c r="G350" s="17"/>
      <c r="H350" s="17"/>
      <c r="I350" s="17"/>
      <c r="J350" s="10">
        <f t="shared" si="63"/>
        <v>0</v>
      </c>
      <c r="K350" s="17"/>
      <c r="L350" s="17"/>
      <c r="M350" s="17"/>
      <c r="N350" s="17"/>
      <c r="O350" s="17">
        <f t="shared" si="68"/>
        <v>0</v>
      </c>
      <c r="P350" s="16">
        <f t="shared" si="65"/>
        <v>0</v>
      </c>
    </row>
    <row r="351" spans="1:16" s="1" customFormat="1" ht="25.5" hidden="1" x14ac:dyDescent="0.2">
      <c r="A351" s="36"/>
      <c r="B351" s="3"/>
      <c r="C351" s="3"/>
      <c r="D351" s="19" t="s">
        <v>519</v>
      </c>
      <c r="E351" s="10">
        <f t="shared" si="62"/>
        <v>0</v>
      </c>
      <c r="F351" s="17"/>
      <c r="G351" s="17"/>
      <c r="H351" s="17"/>
      <c r="I351" s="17"/>
      <c r="J351" s="10">
        <f t="shared" si="63"/>
        <v>0</v>
      </c>
      <c r="K351" s="17"/>
      <c r="L351" s="17"/>
      <c r="M351" s="17"/>
      <c r="N351" s="17"/>
      <c r="O351" s="17">
        <f t="shared" si="68"/>
        <v>0</v>
      </c>
      <c r="P351" s="16">
        <f t="shared" si="65"/>
        <v>0</v>
      </c>
    </row>
    <row r="352" spans="1:16" s="1" customFormat="1" ht="25.5" x14ac:dyDescent="0.2">
      <c r="A352" s="36" t="s">
        <v>508</v>
      </c>
      <c r="B352" s="3" t="s">
        <v>506</v>
      </c>
      <c r="C352" s="3" t="s">
        <v>122</v>
      </c>
      <c r="D352" s="35" t="s">
        <v>509</v>
      </c>
      <c r="E352" s="10">
        <f t="shared" si="62"/>
        <v>0</v>
      </c>
      <c r="F352" s="17"/>
      <c r="G352" s="17"/>
      <c r="H352" s="17"/>
      <c r="I352" s="17"/>
      <c r="J352" s="10">
        <f t="shared" si="63"/>
        <v>93343589</v>
      </c>
      <c r="K352" s="17">
        <f>20870900+76810671-3849639+200000-688343</f>
        <v>93343589</v>
      </c>
      <c r="L352" s="17"/>
      <c r="M352" s="17"/>
      <c r="N352" s="17"/>
      <c r="O352" s="17">
        <f t="shared" si="68"/>
        <v>93343589</v>
      </c>
      <c r="P352" s="16">
        <f t="shared" si="65"/>
        <v>93343589</v>
      </c>
    </row>
    <row r="353" spans="1:18" s="1" customFormat="1" ht="25.5" hidden="1" x14ac:dyDescent="0.2">
      <c r="A353" s="36"/>
      <c r="B353" s="3"/>
      <c r="C353" s="3"/>
      <c r="D353" s="35" t="s">
        <v>510</v>
      </c>
      <c r="E353" s="10"/>
      <c r="F353" s="17"/>
      <c r="G353" s="17"/>
      <c r="H353" s="17"/>
      <c r="I353" s="17"/>
      <c r="J353" s="10">
        <f t="shared" si="63"/>
        <v>0</v>
      </c>
      <c r="K353" s="17"/>
      <c r="L353" s="17"/>
      <c r="M353" s="17"/>
      <c r="N353" s="17"/>
      <c r="O353" s="17">
        <f t="shared" si="68"/>
        <v>0</v>
      </c>
      <c r="P353" s="16">
        <f t="shared" si="65"/>
        <v>0</v>
      </c>
    </row>
    <row r="354" spans="1:18" ht="29.25" hidden="1" customHeight="1" x14ac:dyDescent="0.2">
      <c r="A354" s="41" t="s">
        <v>598</v>
      </c>
      <c r="B354" s="8" t="s">
        <v>599</v>
      </c>
      <c r="C354" s="4" t="s">
        <v>122</v>
      </c>
      <c r="D354" s="77" t="s">
        <v>600</v>
      </c>
      <c r="E354" s="11">
        <f t="shared" si="62"/>
        <v>0</v>
      </c>
      <c r="F354" s="12"/>
      <c r="G354" s="12"/>
      <c r="H354" s="12"/>
      <c r="I354" s="12"/>
      <c r="J354" s="10">
        <f t="shared" si="63"/>
        <v>0</v>
      </c>
      <c r="K354" s="12"/>
      <c r="L354" s="12"/>
      <c r="M354" s="12"/>
      <c r="N354" s="12"/>
      <c r="O354" s="12">
        <f>K354</f>
        <v>0</v>
      </c>
      <c r="P354" s="13">
        <f t="shared" si="65"/>
        <v>0</v>
      </c>
    </row>
    <row r="355" spans="1:18" s="1" customFormat="1" ht="39.75" hidden="1" customHeight="1" x14ac:dyDescent="0.2">
      <c r="A355" s="36"/>
      <c r="B355" s="18"/>
      <c r="C355" s="3"/>
      <c r="D355" s="35" t="s">
        <v>601</v>
      </c>
      <c r="E355" s="10"/>
      <c r="F355" s="17"/>
      <c r="G355" s="17"/>
      <c r="H355" s="17"/>
      <c r="I355" s="17"/>
      <c r="J355" s="10">
        <f t="shared" si="63"/>
        <v>0</v>
      </c>
      <c r="K355" s="17"/>
      <c r="L355" s="17"/>
      <c r="M355" s="17"/>
      <c r="N355" s="17"/>
      <c r="O355" s="17"/>
      <c r="P355" s="13">
        <f t="shared" si="65"/>
        <v>0</v>
      </c>
    </row>
    <row r="356" spans="1:18" s="1" customFormat="1" ht="25.5" x14ac:dyDescent="0.2">
      <c r="A356" s="36" t="s">
        <v>553</v>
      </c>
      <c r="B356" s="22" t="s">
        <v>323</v>
      </c>
      <c r="C356" s="3" t="s">
        <v>69</v>
      </c>
      <c r="D356" s="19" t="s">
        <v>322</v>
      </c>
      <c r="E356" s="10">
        <f t="shared" si="62"/>
        <v>0</v>
      </c>
      <c r="F356" s="17"/>
      <c r="G356" s="17"/>
      <c r="H356" s="17"/>
      <c r="I356" s="17"/>
      <c r="J356" s="11">
        <f t="shared" ref="J356:J362" si="69">L356+O356</f>
        <v>24080755</v>
      </c>
      <c r="K356" s="100">
        <f>24738000-657245</f>
        <v>24080755</v>
      </c>
      <c r="L356" s="17"/>
      <c r="M356" s="17"/>
      <c r="N356" s="17"/>
      <c r="O356" s="17">
        <f>K356</f>
        <v>24080755</v>
      </c>
      <c r="P356" s="16">
        <f t="shared" si="65"/>
        <v>24080755</v>
      </c>
    </row>
    <row r="357" spans="1:18" s="1" customFormat="1" ht="25.5" hidden="1" x14ac:dyDescent="0.2">
      <c r="A357" s="36"/>
      <c r="B357" s="3"/>
      <c r="C357" s="3"/>
      <c r="D357" s="35" t="s">
        <v>510</v>
      </c>
      <c r="E357" s="10">
        <f t="shared" si="62"/>
        <v>0</v>
      </c>
      <c r="F357" s="17"/>
      <c r="G357" s="17"/>
      <c r="H357" s="17"/>
      <c r="I357" s="17"/>
      <c r="J357" s="11">
        <f t="shared" si="69"/>
        <v>0</v>
      </c>
      <c r="K357" s="17"/>
      <c r="L357" s="17"/>
      <c r="M357" s="17"/>
      <c r="N357" s="17"/>
      <c r="O357" s="17">
        <f>K357</f>
        <v>0</v>
      </c>
      <c r="P357" s="16">
        <f t="shared" si="65"/>
        <v>0</v>
      </c>
    </row>
    <row r="358" spans="1:18" hidden="1" x14ac:dyDescent="0.2">
      <c r="A358" s="41" t="s">
        <v>560</v>
      </c>
      <c r="B358" s="3" t="s">
        <v>187</v>
      </c>
      <c r="C358" s="3" t="s">
        <v>122</v>
      </c>
      <c r="D358" s="73" t="s">
        <v>188</v>
      </c>
      <c r="E358" s="10">
        <f t="shared" si="62"/>
        <v>0</v>
      </c>
      <c r="F358" s="12"/>
      <c r="G358" s="12"/>
      <c r="H358" s="12"/>
      <c r="I358" s="12"/>
      <c r="J358" s="11">
        <f t="shared" si="69"/>
        <v>0</v>
      </c>
      <c r="K358" s="12"/>
      <c r="L358" s="12"/>
      <c r="M358" s="12"/>
      <c r="N358" s="12"/>
      <c r="O358" s="17">
        <f>K358</f>
        <v>0</v>
      </c>
      <c r="P358" s="16">
        <f t="shared" si="65"/>
        <v>0</v>
      </c>
    </row>
    <row r="359" spans="1:18" hidden="1" x14ac:dyDescent="0.2">
      <c r="A359" s="41" t="s">
        <v>578</v>
      </c>
      <c r="B359" s="20" t="s">
        <v>471</v>
      </c>
      <c r="C359" s="20" t="s">
        <v>124</v>
      </c>
      <c r="D359" s="24" t="s">
        <v>128</v>
      </c>
      <c r="E359" s="10">
        <f t="shared" si="62"/>
        <v>0</v>
      </c>
      <c r="F359" s="30"/>
      <c r="G359" s="30"/>
      <c r="H359" s="30"/>
      <c r="I359" s="30"/>
      <c r="J359" s="11">
        <f t="shared" si="69"/>
        <v>0</v>
      </c>
      <c r="K359" s="30"/>
      <c r="L359" s="30"/>
      <c r="M359" s="30"/>
      <c r="N359" s="30"/>
      <c r="O359" s="12"/>
      <c r="P359" s="13">
        <f t="shared" si="65"/>
        <v>0</v>
      </c>
    </row>
    <row r="360" spans="1:18" ht="15" hidden="1" customHeight="1" x14ac:dyDescent="0.2">
      <c r="A360" s="41"/>
      <c r="B360" s="20"/>
      <c r="C360" s="20"/>
      <c r="D360" s="24" t="s">
        <v>484</v>
      </c>
      <c r="E360" s="10">
        <f>F360+I360</f>
        <v>0</v>
      </c>
      <c r="F360" s="33"/>
      <c r="G360" s="33"/>
      <c r="H360" s="33"/>
      <c r="I360" s="33"/>
      <c r="J360" s="10">
        <f>L360+O360</f>
        <v>0</v>
      </c>
      <c r="K360" s="33"/>
      <c r="L360" s="33"/>
      <c r="M360" s="33"/>
      <c r="N360" s="33"/>
      <c r="O360" s="33"/>
      <c r="P360" s="16">
        <f>E360+J360</f>
        <v>0</v>
      </c>
    </row>
    <row r="361" spans="1:18" s="1" customFormat="1" ht="25.5" hidden="1" x14ac:dyDescent="0.2">
      <c r="A361" s="36" t="s">
        <v>576</v>
      </c>
      <c r="B361" s="22" t="s">
        <v>577</v>
      </c>
      <c r="C361" s="22" t="s">
        <v>356</v>
      </c>
      <c r="D361" s="21" t="s">
        <v>579</v>
      </c>
      <c r="E361" s="10">
        <f t="shared" si="62"/>
        <v>0</v>
      </c>
      <c r="F361" s="33"/>
      <c r="G361" s="33"/>
      <c r="H361" s="33"/>
      <c r="I361" s="33"/>
      <c r="J361" s="10">
        <f t="shared" si="69"/>
        <v>0</v>
      </c>
      <c r="K361" s="33"/>
      <c r="L361" s="33"/>
      <c r="M361" s="33"/>
      <c r="N361" s="33"/>
      <c r="O361" s="33"/>
      <c r="P361" s="16">
        <f t="shared" si="65"/>
        <v>0</v>
      </c>
    </row>
    <row r="362" spans="1:18" s="1" customFormat="1" ht="25.5" hidden="1" x14ac:dyDescent="0.2">
      <c r="A362" s="36"/>
      <c r="B362" s="22"/>
      <c r="C362" s="22"/>
      <c r="D362" s="24" t="s">
        <v>574</v>
      </c>
      <c r="E362" s="10"/>
      <c r="F362" s="33"/>
      <c r="G362" s="33"/>
      <c r="H362" s="33"/>
      <c r="I362" s="33"/>
      <c r="J362" s="10">
        <f t="shared" si="69"/>
        <v>0</v>
      </c>
      <c r="K362" s="33"/>
      <c r="L362" s="33"/>
      <c r="M362" s="33"/>
      <c r="N362" s="33"/>
      <c r="O362" s="33">
        <f>O361</f>
        <v>0</v>
      </c>
      <c r="P362" s="16">
        <f t="shared" si="65"/>
        <v>0</v>
      </c>
    </row>
    <row r="363" spans="1:18" s="1" customFormat="1" hidden="1" x14ac:dyDescent="0.2">
      <c r="A363" s="36"/>
      <c r="B363" s="22"/>
      <c r="C363" s="22"/>
      <c r="D363" s="24"/>
      <c r="E363" s="10"/>
      <c r="F363" s="33"/>
      <c r="G363" s="33"/>
      <c r="H363" s="33"/>
      <c r="I363" s="33"/>
      <c r="J363" s="10"/>
      <c r="K363" s="33"/>
      <c r="L363" s="33"/>
      <c r="M363" s="33"/>
      <c r="N363" s="33"/>
      <c r="O363" s="33"/>
      <c r="P363" s="16"/>
    </row>
    <row r="364" spans="1:18" ht="15.75" customHeight="1" x14ac:dyDescent="0.2">
      <c r="A364" s="62">
        <v>3100000</v>
      </c>
      <c r="B364" s="6"/>
      <c r="C364" s="7"/>
      <c r="D364" s="31" t="s">
        <v>70</v>
      </c>
      <c r="E364" s="25">
        <f>E366</f>
        <v>2084600</v>
      </c>
      <c r="F364" s="25">
        <f t="shared" ref="F364:O364" si="70">F366</f>
        <v>2084600</v>
      </c>
      <c r="G364" s="25">
        <f t="shared" si="70"/>
        <v>1500000</v>
      </c>
      <c r="H364" s="25">
        <f t="shared" si="70"/>
        <v>0</v>
      </c>
      <c r="I364" s="25">
        <f t="shared" si="70"/>
        <v>0</v>
      </c>
      <c r="J364" s="25">
        <f t="shared" si="70"/>
        <v>427000</v>
      </c>
      <c r="K364" s="25">
        <f>K366</f>
        <v>427000</v>
      </c>
      <c r="L364" s="25">
        <f t="shared" si="70"/>
        <v>0</v>
      </c>
      <c r="M364" s="25">
        <f t="shared" si="70"/>
        <v>0</v>
      </c>
      <c r="N364" s="25">
        <f t="shared" si="70"/>
        <v>0</v>
      </c>
      <c r="O364" s="25">
        <f t="shared" si="70"/>
        <v>427000</v>
      </c>
      <c r="P364" s="13">
        <f t="shared" si="65"/>
        <v>2511600</v>
      </c>
      <c r="R364" s="34"/>
    </row>
    <row r="365" spans="1:18" s="1" customFormat="1" hidden="1" x14ac:dyDescent="0.2">
      <c r="A365" s="36"/>
      <c r="B365" s="18"/>
      <c r="C365" s="3"/>
      <c r="D365" s="15" t="s">
        <v>483</v>
      </c>
      <c r="E365" s="17"/>
      <c r="F365" s="17"/>
      <c r="G365" s="17"/>
      <c r="H365" s="17"/>
      <c r="I365" s="17"/>
      <c r="J365" s="17">
        <f>J370</f>
        <v>0</v>
      </c>
      <c r="K365" s="17">
        <f>K370</f>
        <v>0</v>
      </c>
      <c r="L365" s="17"/>
      <c r="M365" s="17"/>
      <c r="N365" s="17"/>
      <c r="O365" s="25">
        <f>K365</f>
        <v>0</v>
      </c>
      <c r="P365" s="13">
        <f>E365+J365</f>
        <v>0</v>
      </c>
    </row>
    <row r="366" spans="1:18" x14ac:dyDescent="0.2">
      <c r="A366" s="41" t="s">
        <v>340</v>
      </c>
      <c r="B366" s="8"/>
      <c r="C366" s="7"/>
      <c r="D366" s="15" t="s">
        <v>70</v>
      </c>
      <c r="E366" s="25">
        <f>E367+E368+E371+E376</f>
        <v>2084600</v>
      </c>
      <c r="F366" s="25">
        <f>F367+F368+F371+F376+F377</f>
        <v>2084600</v>
      </c>
      <c r="G366" s="25">
        <f>G367+G368+G371+G376</f>
        <v>1500000</v>
      </c>
      <c r="H366" s="25">
        <f>H367+H368+H371+H376</f>
        <v>0</v>
      </c>
      <c r="I366" s="25">
        <f>I367+I368+I371+I376</f>
        <v>0</v>
      </c>
      <c r="J366" s="25">
        <f t="shared" ref="J366:O366" si="71">J367+J368+J371+J376+J372+J375</f>
        <v>427000</v>
      </c>
      <c r="K366" s="25">
        <f t="shared" si="71"/>
        <v>427000</v>
      </c>
      <c r="L366" s="25">
        <f t="shared" si="71"/>
        <v>0</v>
      </c>
      <c r="M366" s="25">
        <f t="shared" si="71"/>
        <v>0</v>
      </c>
      <c r="N366" s="25">
        <f t="shared" si="71"/>
        <v>0</v>
      </c>
      <c r="O366" s="25">
        <f t="shared" si="71"/>
        <v>427000</v>
      </c>
      <c r="P366" s="25">
        <f>P367+P368+P371+P376</f>
        <v>2511600</v>
      </c>
    </row>
    <row r="367" spans="1:18" ht="25.5" x14ac:dyDescent="0.2">
      <c r="A367" s="41" t="s">
        <v>341</v>
      </c>
      <c r="B367" s="4" t="s">
        <v>190</v>
      </c>
      <c r="C367" s="4" t="s">
        <v>116</v>
      </c>
      <c r="D367" s="14" t="s">
        <v>615</v>
      </c>
      <c r="E367" s="11">
        <f t="shared" ref="E367:E373" si="72">F367+I367</f>
        <v>1885600</v>
      </c>
      <c r="F367" s="12">
        <v>1885600</v>
      </c>
      <c r="G367" s="12">
        <v>1500000</v>
      </c>
      <c r="H367" s="12"/>
      <c r="I367" s="12"/>
      <c r="J367" s="11">
        <f>L367+O367</f>
        <v>228000</v>
      </c>
      <c r="K367" s="12">
        <v>228000</v>
      </c>
      <c r="L367" s="12"/>
      <c r="M367" s="12"/>
      <c r="N367" s="12"/>
      <c r="O367" s="12">
        <f>K367</f>
        <v>228000</v>
      </c>
      <c r="P367" s="13">
        <f t="shared" ref="P367:P381" si="73">E367+J367</f>
        <v>2113600</v>
      </c>
    </row>
    <row r="368" spans="1:18" hidden="1" x14ac:dyDescent="0.2">
      <c r="A368" s="41" t="s">
        <v>344</v>
      </c>
      <c r="B368" s="4" t="s">
        <v>343</v>
      </c>
      <c r="C368" s="4" t="s">
        <v>121</v>
      </c>
      <c r="D368" s="21" t="s">
        <v>342</v>
      </c>
      <c r="E368" s="11">
        <f t="shared" si="72"/>
        <v>0</v>
      </c>
      <c r="F368" s="12"/>
      <c r="G368" s="12"/>
      <c r="H368" s="12"/>
      <c r="I368" s="12"/>
      <c r="J368" s="11">
        <f>L368+O368</f>
        <v>0</v>
      </c>
      <c r="K368" s="12"/>
      <c r="L368" s="12"/>
      <c r="M368" s="12"/>
      <c r="N368" s="12"/>
      <c r="O368" s="12">
        <f>K368</f>
        <v>0</v>
      </c>
      <c r="P368" s="13">
        <f t="shared" si="73"/>
        <v>0</v>
      </c>
    </row>
    <row r="369" spans="1:18" s="1" customFormat="1" ht="17.25" hidden="1" customHeight="1" x14ac:dyDescent="0.2">
      <c r="A369" s="36" t="s">
        <v>353</v>
      </c>
      <c r="B369" s="3" t="s">
        <v>352</v>
      </c>
      <c r="C369" s="3" t="s">
        <v>119</v>
      </c>
      <c r="D369" s="73" t="s">
        <v>351</v>
      </c>
      <c r="E369" s="11">
        <f>F369+I369</f>
        <v>0</v>
      </c>
      <c r="F369" s="10"/>
      <c r="G369" s="10"/>
      <c r="H369" s="10"/>
      <c r="I369" s="10"/>
      <c r="J369" s="11">
        <f>L369+O369</f>
        <v>0</v>
      </c>
      <c r="K369" s="10"/>
      <c r="L369" s="10"/>
      <c r="M369" s="10"/>
      <c r="N369" s="10"/>
      <c r="O369" s="10">
        <f>K369</f>
        <v>0</v>
      </c>
      <c r="P369" s="13">
        <f>E369+J369</f>
        <v>0</v>
      </c>
    </row>
    <row r="370" spans="1:18" s="1" customFormat="1" hidden="1" x14ac:dyDescent="0.2">
      <c r="A370" s="36"/>
      <c r="B370" s="3"/>
      <c r="C370" s="3"/>
      <c r="D370" s="73" t="s">
        <v>483</v>
      </c>
      <c r="E370" s="10"/>
      <c r="F370" s="10"/>
      <c r="G370" s="10"/>
      <c r="H370" s="10"/>
      <c r="I370" s="10"/>
      <c r="J370" s="11">
        <f>K370</f>
        <v>0</v>
      </c>
      <c r="K370" s="10"/>
      <c r="L370" s="10"/>
      <c r="M370" s="10"/>
      <c r="N370" s="10"/>
      <c r="O370" s="10">
        <f>K370</f>
        <v>0</v>
      </c>
      <c r="P370" s="13">
        <f>E370+J370</f>
        <v>0</v>
      </c>
    </row>
    <row r="371" spans="1:18" x14ac:dyDescent="0.2">
      <c r="A371" s="41" t="s">
        <v>347</v>
      </c>
      <c r="B371" s="4" t="s">
        <v>346</v>
      </c>
      <c r="C371" s="4" t="s">
        <v>122</v>
      </c>
      <c r="D371" s="5" t="s">
        <v>345</v>
      </c>
      <c r="E371" s="11">
        <f t="shared" si="72"/>
        <v>0</v>
      </c>
      <c r="F371" s="12"/>
      <c r="G371" s="12"/>
      <c r="H371" s="12"/>
      <c r="I371" s="12"/>
      <c r="J371" s="11">
        <f>L371+O371</f>
        <v>199000</v>
      </c>
      <c r="K371" s="12">
        <v>199000</v>
      </c>
      <c r="L371" s="12"/>
      <c r="M371" s="12"/>
      <c r="N371" s="12"/>
      <c r="O371" s="12">
        <f>K371</f>
        <v>199000</v>
      </c>
      <c r="P371" s="13">
        <f t="shared" si="73"/>
        <v>199000</v>
      </c>
    </row>
    <row r="372" spans="1:18" ht="17.25" hidden="1" customHeight="1" x14ac:dyDescent="0.2">
      <c r="A372" s="41" t="s">
        <v>350</v>
      </c>
      <c r="B372" s="4" t="s">
        <v>349</v>
      </c>
      <c r="C372" s="4"/>
      <c r="D372" s="72" t="s">
        <v>348</v>
      </c>
      <c r="E372" s="11">
        <f t="shared" si="72"/>
        <v>0</v>
      </c>
      <c r="F372" s="11"/>
      <c r="G372" s="11"/>
      <c r="H372" s="11">
        <f>H369</f>
        <v>0</v>
      </c>
      <c r="I372" s="11">
        <f>I369</f>
        <v>0</v>
      </c>
      <c r="J372" s="11">
        <f t="shared" ref="J372:O372" si="74">J369+J373</f>
        <v>0</v>
      </c>
      <c r="K372" s="11">
        <f t="shared" si="74"/>
        <v>0</v>
      </c>
      <c r="L372" s="11">
        <f t="shared" si="74"/>
        <v>0</v>
      </c>
      <c r="M372" s="11">
        <f t="shared" si="74"/>
        <v>0</v>
      </c>
      <c r="N372" s="11">
        <f t="shared" si="74"/>
        <v>0</v>
      </c>
      <c r="O372" s="11">
        <f t="shared" si="74"/>
        <v>0</v>
      </c>
      <c r="P372" s="13">
        <f t="shared" si="73"/>
        <v>0</v>
      </c>
    </row>
    <row r="373" spans="1:18" s="1" customFormat="1" ht="38.25" hidden="1" x14ac:dyDescent="0.2">
      <c r="A373" s="36" t="s">
        <v>528</v>
      </c>
      <c r="B373" s="3" t="s">
        <v>529</v>
      </c>
      <c r="C373" s="3"/>
      <c r="D373" s="82" t="s">
        <v>530</v>
      </c>
      <c r="E373" s="11">
        <f t="shared" si="72"/>
        <v>0</v>
      </c>
      <c r="F373" s="10"/>
      <c r="G373" s="10"/>
      <c r="H373" s="10"/>
      <c r="I373" s="10"/>
      <c r="J373" s="11">
        <f>L373+O373</f>
        <v>0</v>
      </c>
      <c r="K373" s="10"/>
      <c r="L373" s="10"/>
      <c r="M373" s="10"/>
      <c r="N373" s="10"/>
      <c r="O373" s="10">
        <f>K373</f>
        <v>0</v>
      </c>
      <c r="P373" s="13">
        <f t="shared" si="73"/>
        <v>0</v>
      </c>
    </row>
    <row r="374" spans="1:18" s="1" customFormat="1" ht="51" hidden="1" x14ac:dyDescent="0.2">
      <c r="A374" s="36"/>
      <c r="B374" s="3"/>
      <c r="C374" s="3"/>
      <c r="D374" s="73" t="s">
        <v>531</v>
      </c>
      <c r="E374" s="11"/>
      <c r="F374" s="10"/>
      <c r="G374" s="10"/>
      <c r="H374" s="10"/>
      <c r="I374" s="10"/>
      <c r="J374" s="11">
        <f>L374+O374</f>
        <v>0</v>
      </c>
      <c r="K374" s="10"/>
      <c r="L374" s="10"/>
      <c r="M374" s="10"/>
      <c r="N374" s="10"/>
      <c r="O374" s="10">
        <f>K374</f>
        <v>0</v>
      </c>
      <c r="P374" s="13">
        <f t="shared" si="73"/>
        <v>0</v>
      </c>
    </row>
    <row r="375" spans="1:18" hidden="1" x14ac:dyDescent="0.2">
      <c r="A375" s="41" t="s">
        <v>476</v>
      </c>
      <c r="B375" s="4" t="s">
        <v>178</v>
      </c>
      <c r="C375" s="4" t="s">
        <v>122</v>
      </c>
      <c r="D375" s="82" t="s">
        <v>332</v>
      </c>
      <c r="E375" s="11"/>
      <c r="F375" s="11"/>
      <c r="G375" s="11"/>
      <c r="H375" s="11"/>
      <c r="I375" s="11"/>
      <c r="J375" s="11">
        <f>L375+O375</f>
        <v>0</v>
      </c>
      <c r="K375" s="11"/>
      <c r="L375" s="11"/>
      <c r="M375" s="11"/>
      <c r="N375" s="11"/>
      <c r="O375" s="11">
        <f>K375</f>
        <v>0</v>
      </c>
      <c r="P375" s="13">
        <f t="shared" si="73"/>
        <v>0</v>
      </c>
    </row>
    <row r="376" spans="1:18" hidden="1" x14ac:dyDescent="0.2">
      <c r="A376" s="41" t="s">
        <v>457</v>
      </c>
      <c r="B376" s="4" t="s">
        <v>183</v>
      </c>
      <c r="C376" s="4"/>
      <c r="D376" s="82" t="s">
        <v>185</v>
      </c>
      <c r="E376" s="11">
        <f>E377</f>
        <v>199000</v>
      </c>
      <c r="F376" s="11"/>
      <c r="G376" s="11"/>
      <c r="H376" s="11">
        <f t="shared" ref="H376:O376" si="75">H377</f>
        <v>0</v>
      </c>
      <c r="I376" s="11">
        <f t="shared" si="75"/>
        <v>0</v>
      </c>
      <c r="J376" s="11">
        <f t="shared" si="75"/>
        <v>0</v>
      </c>
      <c r="K376" s="11">
        <f>K377</f>
        <v>0</v>
      </c>
      <c r="L376" s="11">
        <f t="shared" si="75"/>
        <v>0</v>
      </c>
      <c r="M376" s="11">
        <f t="shared" si="75"/>
        <v>0</v>
      </c>
      <c r="N376" s="11">
        <f t="shared" si="75"/>
        <v>0</v>
      </c>
      <c r="O376" s="11">
        <f t="shared" si="75"/>
        <v>0</v>
      </c>
      <c r="P376" s="13">
        <f t="shared" si="73"/>
        <v>199000</v>
      </c>
    </row>
    <row r="377" spans="1:18" ht="15" customHeight="1" x14ac:dyDescent="0.2">
      <c r="A377" s="41" t="s">
        <v>458</v>
      </c>
      <c r="B377" s="4" t="s">
        <v>187</v>
      </c>
      <c r="C377" s="4" t="s">
        <v>122</v>
      </c>
      <c r="D377" s="82" t="s">
        <v>188</v>
      </c>
      <c r="E377" s="11">
        <f>F377+I377</f>
        <v>199000</v>
      </c>
      <c r="F377" s="11">
        <v>199000</v>
      </c>
      <c r="G377" s="11"/>
      <c r="H377" s="11"/>
      <c r="I377" s="11"/>
      <c r="J377" s="11">
        <f>L377+O377</f>
        <v>0</v>
      </c>
      <c r="K377" s="11"/>
      <c r="L377" s="11"/>
      <c r="M377" s="11"/>
      <c r="N377" s="11"/>
      <c r="O377" s="11"/>
      <c r="P377" s="13">
        <f t="shared" si="73"/>
        <v>199000</v>
      </c>
    </row>
    <row r="378" spans="1:18" ht="25.5" x14ac:dyDescent="0.2">
      <c r="A378" s="62" t="s">
        <v>657</v>
      </c>
      <c r="B378" s="6"/>
      <c r="C378" s="7"/>
      <c r="D378" s="31" t="s">
        <v>660</v>
      </c>
      <c r="E378" s="25">
        <f>E379</f>
        <v>3794000</v>
      </c>
      <c r="F378" s="25">
        <f t="shared" ref="F378:P379" si="76">F379</f>
        <v>3794000</v>
      </c>
      <c r="G378" s="25">
        <f t="shared" si="76"/>
        <v>3070100</v>
      </c>
      <c r="H378" s="25">
        <f t="shared" si="76"/>
        <v>78500</v>
      </c>
      <c r="I378" s="25">
        <f t="shared" si="76"/>
        <v>0</v>
      </c>
      <c r="J378" s="25">
        <f t="shared" si="76"/>
        <v>0</v>
      </c>
      <c r="K378" s="25">
        <f t="shared" si="76"/>
        <v>0</v>
      </c>
      <c r="L378" s="25">
        <f t="shared" si="76"/>
        <v>0</v>
      </c>
      <c r="M378" s="25">
        <f t="shared" si="76"/>
        <v>0</v>
      </c>
      <c r="N378" s="25">
        <f t="shared" si="76"/>
        <v>0</v>
      </c>
      <c r="O378" s="25">
        <f t="shared" si="76"/>
        <v>0</v>
      </c>
      <c r="P378" s="25">
        <f t="shared" si="76"/>
        <v>3794000</v>
      </c>
      <c r="R378" s="34"/>
    </row>
    <row r="379" spans="1:18" ht="25.5" x14ac:dyDescent="0.2">
      <c r="A379" s="41" t="s">
        <v>658</v>
      </c>
      <c r="B379" s="8"/>
      <c r="C379" s="7"/>
      <c r="D379" s="15" t="s">
        <v>660</v>
      </c>
      <c r="E379" s="25">
        <f>E380</f>
        <v>3794000</v>
      </c>
      <c r="F379" s="25">
        <f t="shared" si="76"/>
        <v>3794000</v>
      </c>
      <c r="G379" s="25">
        <f t="shared" si="76"/>
        <v>3070100</v>
      </c>
      <c r="H379" s="25">
        <f t="shared" si="76"/>
        <v>78500</v>
      </c>
      <c r="I379" s="25">
        <f t="shared" si="76"/>
        <v>0</v>
      </c>
      <c r="J379" s="25">
        <f t="shared" si="76"/>
        <v>0</v>
      </c>
      <c r="K379" s="25">
        <f t="shared" si="76"/>
        <v>0</v>
      </c>
      <c r="L379" s="25">
        <f t="shared" si="76"/>
        <v>0</v>
      </c>
      <c r="M379" s="25">
        <f t="shared" si="76"/>
        <v>0</v>
      </c>
      <c r="N379" s="25">
        <f t="shared" si="76"/>
        <v>0</v>
      </c>
      <c r="O379" s="25">
        <f t="shared" si="76"/>
        <v>0</v>
      </c>
      <c r="P379" s="25">
        <f t="shared" si="76"/>
        <v>3794000</v>
      </c>
    </row>
    <row r="380" spans="1:18" ht="25.9" customHeight="1" x14ac:dyDescent="0.2">
      <c r="A380" s="41" t="s">
        <v>659</v>
      </c>
      <c r="B380" s="4" t="s">
        <v>190</v>
      </c>
      <c r="C380" s="4" t="s">
        <v>116</v>
      </c>
      <c r="D380" s="14" t="s">
        <v>615</v>
      </c>
      <c r="E380" s="11">
        <f>F380+I380</f>
        <v>3794000</v>
      </c>
      <c r="F380" s="12">
        <v>3794000</v>
      </c>
      <c r="G380" s="12">
        <v>3070100</v>
      </c>
      <c r="H380" s="12">
        <v>78500</v>
      </c>
      <c r="I380" s="12"/>
      <c r="J380" s="11">
        <f>L380+O380</f>
        <v>0</v>
      </c>
      <c r="K380" s="12"/>
      <c r="L380" s="12"/>
      <c r="M380" s="12"/>
      <c r="N380" s="12"/>
      <c r="O380" s="12">
        <f>K380</f>
        <v>0</v>
      </c>
      <c r="P380" s="13">
        <f>E380+J380</f>
        <v>3794000</v>
      </c>
    </row>
    <row r="381" spans="1:18" ht="15" customHeight="1" x14ac:dyDescent="0.2">
      <c r="A381" s="62">
        <v>3700000</v>
      </c>
      <c r="B381" s="6"/>
      <c r="C381" s="7"/>
      <c r="D381" s="31" t="s">
        <v>72</v>
      </c>
      <c r="E381" s="25">
        <f>E382</f>
        <v>29306400</v>
      </c>
      <c r="F381" s="25">
        <f t="shared" ref="F381:O381" si="77">F382</f>
        <v>24306400</v>
      </c>
      <c r="G381" s="25">
        <f t="shared" si="77"/>
        <v>7380000</v>
      </c>
      <c r="H381" s="25">
        <f t="shared" si="77"/>
        <v>108000</v>
      </c>
      <c r="I381" s="25">
        <f t="shared" si="77"/>
        <v>0</v>
      </c>
      <c r="J381" s="25">
        <f t="shared" si="77"/>
        <v>8877500</v>
      </c>
      <c r="K381" s="25">
        <f>K382</f>
        <v>8877500</v>
      </c>
      <c r="L381" s="25">
        <f t="shared" si="77"/>
        <v>0</v>
      </c>
      <c r="M381" s="25">
        <f t="shared" si="77"/>
        <v>0</v>
      </c>
      <c r="N381" s="25">
        <f t="shared" si="77"/>
        <v>0</v>
      </c>
      <c r="O381" s="25">
        <f t="shared" si="77"/>
        <v>8877500</v>
      </c>
      <c r="P381" s="13">
        <f t="shared" si="73"/>
        <v>38183900</v>
      </c>
      <c r="R381" s="34"/>
    </row>
    <row r="382" spans="1:18" x14ac:dyDescent="0.2">
      <c r="A382" s="41" t="s">
        <v>354</v>
      </c>
      <c r="B382" s="8"/>
      <c r="C382" s="7"/>
      <c r="D382" s="15" t="s">
        <v>72</v>
      </c>
      <c r="E382" s="25">
        <f>E383+E385+E387+E384+E386</f>
        <v>29306400</v>
      </c>
      <c r="F382" s="25">
        <f t="shared" ref="F382:P382" si="78">F383+F385+F387+F384+F386</f>
        <v>24306400</v>
      </c>
      <c r="G382" s="25">
        <f t="shared" si="78"/>
        <v>7380000</v>
      </c>
      <c r="H382" s="25">
        <f t="shared" si="78"/>
        <v>108000</v>
      </c>
      <c r="I382" s="25">
        <f t="shared" si="78"/>
        <v>0</v>
      </c>
      <c r="J382" s="25">
        <f>J383+J385+J387+J384+J386</f>
        <v>8877500</v>
      </c>
      <c r="K382" s="25">
        <f>K383+K385+K387+K384+K386</f>
        <v>8877500</v>
      </c>
      <c r="L382" s="25">
        <f t="shared" si="78"/>
        <v>0</v>
      </c>
      <c r="M382" s="25">
        <f t="shared" si="78"/>
        <v>0</v>
      </c>
      <c r="N382" s="25">
        <f t="shared" si="78"/>
        <v>0</v>
      </c>
      <c r="O382" s="25">
        <f t="shared" si="78"/>
        <v>8877500</v>
      </c>
      <c r="P382" s="25">
        <f t="shared" si="78"/>
        <v>38183900</v>
      </c>
    </row>
    <row r="383" spans="1:18" ht="25.9" customHeight="1" x14ac:dyDescent="0.2">
      <c r="A383" s="41" t="s">
        <v>355</v>
      </c>
      <c r="B383" s="4" t="s">
        <v>190</v>
      </c>
      <c r="C383" s="4" t="s">
        <v>116</v>
      </c>
      <c r="D383" s="14" t="s">
        <v>615</v>
      </c>
      <c r="E383" s="11">
        <f>F383+I383</f>
        <v>9561400</v>
      </c>
      <c r="F383" s="12">
        <v>9561400</v>
      </c>
      <c r="G383" s="12">
        <v>7380000</v>
      </c>
      <c r="H383" s="12">
        <v>108000</v>
      </c>
      <c r="I383" s="12"/>
      <c r="J383" s="11">
        <f>L383+O383</f>
        <v>8877500</v>
      </c>
      <c r="K383" s="12">
        <f>2500000+1377500+5000000</f>
        <v>8877500</v>
      </c>
      <c r="L383" s="12"/>
      <c r="M383" s="12"/>
      <c r="N383" s="12"/>
      <c r="O383" s="12">
        <f>K383</f>
        <v>8877500</v>
      </c>
      <c r="P383" s="13">
        <f>E383+J383</f>
        <v>18438900</v>
      </c>
    </row>
    <row r="384" spans="1:18" x14ac:dyDescent="0.2">
      <c r="A384" s="41" t="s">
        <v>513</v>
      </c>
      <c r="B384" s="4" t="s">
        <v>27</v>
      </c>
      <c r="C384" s="4" t="s">
        <v>514</v>
      </c>
      <c r="D384" s="47" t="s">
        <v>515</v>
      </c>
      <c r="E384" s="11">
        <f>F384+I384</f>
        <v>14745000</v>
      </c>
      <c r="F384" s="12">
        <v>14745000</v>
      </c>
      <c r="G384" s="12"/>
      <c r="H384" s="12"/>
      <c r="I384" s="12"/>
      <c r="J384" s="11"/>
      <c r="K384" s="12"/>
      <c r="L384" s="12"/>
      <c r="M384" s="12"/>
      <c r="N384" s="12"/>
      <c r="O384" s="12"/>
      <c r="P384" s="13">
        <f>E384+J384</f>
        <v>14745000</v>
      </c>
    </row>
    <row r="385" spans="1:18" x14ac:dyDescent="0.2">
      <c r="A385" s="41" t="s">
        <v>650</v>
      </c>
      <c r="B385" s="8" t="s">
        <v>651</v>
      </c>
      <c r="C385" s="4" t="s">
        <v>129</v>
      </c>
      <c r="D385" s="14" t="s">
        <v>652</v>
      </c>
      <c r="E385" s="13">
        <v>5000000</v>
      </c>
      <c r="F385" s="12"/>
      <c r="G385" s="12"/>
      <c r="H385" s="12"/>
      <c r="I385" s="12"/>
      <c r="J385" s="11">
        <f>L385+O385</f>
        <v>0</v>
      </c>
      <c r="K385" s="12"/>
      <c r="L385" s="12"/>
      <c r="M385" s="12"/>
      <c r="N385" s="12"/>
      <c r="O385" s="12">
        <f>K385</f>
        <v>0</v>
      </c>
      <c r="P385" s="13">
        <f>E385+J385</f>
        <v>5000000</v>
      </c>
    </row>
    <row r="386" spans="1:18" ht="20.25" hidden="1" customHeight="1" x14ac:dyDescent="0.2">
      <c r="A386" s="41" t="s">
        <v>497</v>
      </c>
      <c r="B386" s="8" t="s">
        <v>498</v>
      </c>
      <c r="C386" s="4" t="s">
        <v>487</v>
      </c>
      <c r="D386" s="14" t="s">
        <v>499</v>
      </c>
      <c r="E386" s="25">
        <v>0</v>
      </c>
      <c r="F386" s="12"/>
      <c r="G386" s="12"/>
      <c r="H386" s="12"/>
      <c r="I386" s="12"/>
      <c r="J386" s="11">
        <f>L386+O386</f>
        <v>0</v>
      </c>
      <c r="K386" s="12"/>
      <c r="L386" s="12"/>
      <c r="M386" s="12"/>
      <c r="N386" s="12"/>
      <c r="O386" s="12">
        <f>K386</f>
        <v>0</v>
      </c>
      <c r="P386" s="13">
        <f>E386+J386</f>
        <v>0</v>
      </c>
    </row>
    <row r="387" spans="1:18" ht="26.25" hidden="1" customHeight="1" x14ac:dyDescent="0.2">
      <c r="A387" s="41" t="s">
        <v>488</v>
      </c>
      <c r="B387" s="8" t="s">
        <v>485</v>
      </c>
      <c r="C387" s="4" t="s">
        <v>487</v>
      </c>
      <c r="D387" s="14" t="s">
        <v>486</v>
      </c>
      <c r="E387" s="25">
        <f>F387+I387</f>
        <v>0</v>
      </c>
      <c r="F387" s="12"/>
      <c r="G387" s="12"/>
      <c r="H387" s="12"/>
      <c r="I387" s="12"/>
      <c r="J387" s="11">
        <f>L387+O387</f>
        <v>0</v>
      </c>
      <c r="K387" s="12"/>
      <c r="L387" s="12"/>
      <c r="M387" s="12"/>
      <c r="N387" s="12"/>
      <c r="O387" s="12">
        <f>K387</f>
        <v>0</v>
      </c>
      <c r="P387" s="13">
        <f>E387+J387</f>
        <v>0</v>
      </c>
    </row>
    <row r="388" spans="1:18" ht="15.75" customHeight="1" x14ac:dyDescent="0.2">
      <c r="A388" s="41"/>
      <c r="B388" s="8"/>
      <c r="C388" s="92"/>
      <c r="D388" s="31" t="s">
        <v>73</v>
      </c>
      <c r="E388" s="25">
        <f>E14+E41+E90+E148+E235+E241+E255+E272+E306+E364+E381+E378</f>
        <v>969049953</v>
      </c>
      <c r="F388" s="25">
        <f t="shared" ref="F388:P388" si="79">F14+F41+F90+F148+F235+F241+F255+F272+F306+F364+F381+F378</f>
        <v>964049953</v>
      </c>
      <c r="G388" s="25">
        <f t="shared" si="79"/>
        <v>533948130</v>
      </c>
      <c r="H388" s="25">
        <f t="shared" si="79"/>
        <v>62404446</v>
      </c>
      <c r="I388" s="25">
        <f t="shared" si="79"/>
        <v>0</v>
      </c>
      <c r="J388" s="25">
        <f t="shared" si="79"/>
        <v>218573851</v>
      </c>
      <c r="K388" s="25">
        <f t="shared" si="79"/>
        <v>190546993</v>
      </c>
      <c r="L388" s="25">
        <f t="shared" si="79"/>
        <v>27435458</v>
      </c>
      <c r="M388" s="25">
        <f t="shared" si="79"/>
        <v>3004583</v>
      </c>
      <c r="N388" s="25">
        <f t="shared" si="79"/>
        <v>643250</v>
      </c>
      <c r="O388" s="25">
        <f t="shared" si="79"/>
        <v>191138393</v>
      </c>
      <c r="P388" s="25">
        <f t="shared" si="79"/>
        <v>1187623804</v>
      </c>
      <c r="R388" s="34"/>
    </row>
    <row r="389" spans="1:18" x14ac:dyDescent="0.2">
      <c r="P389" s="34"/>
    </row>
    <row r="390" spans="1:18" ht="19.5" customHeight="1" x14ac:dyDescent="0.2">
      <c r="D390" s="93" t="s">
        <v>603</v>
      </c>
      <c r="E390" s="93"/>
      <c r="F390" s="93"/>
      <c r="G390" s="93"/>
      <c r="H390" s="93"/>
      <c r="I390" s="93"/>
      <c r="J390" s="93"/>
      <c r="K390" s="93"/>
      <c r="O390" s="93" t="s">
        <v>604</v>
      </c>
    </row>
    <row r="391" spans="1:18" ht="24.75" customHeight="1" x14ac:dyDescent="0.25">
      <c r="D391" s="109" t="s">
        <v>610</v>
      </c>
      <c r="E391" s="110"/>
      <c r="O391" s="2" t="s">
        <v>611</v>
      </c>
    </row>
    <row r="392" spans="1:18" ht="13.9" customHeight="1" x14ac:dyDescent="0.2"/>
    <row r="393" spans="1:18" x14ac:dyDescent="0.2">
      <c r="E393" s="94">
        <f>[1]Лист1!$D$109</f>
        <v>1054503783</v>
      </c>
      <c r="F393" s="94"/>
      <c r="G393" s="94"/>
      <c r="H393" s="94"/>
      <c r="I393" s="94"/>
      <c r="J393" s="94">
        <f>[1]Лист1!$E$109</f>
        <v>30526858</v>
      </c>
      <c r="K393" s="94">
        <f>[1]Лист1!$F$109</f>
        <v>2500000</v>
      </c>
      <c r="L393" s="94"/>
      <c r="M393" s="94"/>
      <c r="N393" s="94"/>
      <c r="O393" s="94"/>
      <c r="P393" s="94">
        <f>[1]Лист1!$C$109</f>
        <v>1085030641</v>
      </c>
      <c r="Q393" s="95" t="s">
        <v>606</v>
      </c>
    </row>
    <row r="394" spans="1:18" x14ac:dyDescent="0.2">
      <c r="E394" s="94">
        <f>E388-E393</f>
        <v>-85453830</v>
      </c>
      <c r="F394" s="94"/>
      <c r="G394" s="94"/>
      <c r="H394" s="94"/>
      <c r="I394" s="94"/>
      <c r="J394" s="94">
        <f>J393-J388</f>
        <v>-188046993</v>
      </c>
      <c r="K394" s="94">
        <f>K393-K388</f>
        <v>-188046993</v>
      </c>
      <c r="L394" s="94"/>
      <c r="M394" s="94"/>
      <c r="N394" s="94"/>
      <c r="O394" s="94"/>
      <c r="P394" s="94">
        <f>P393-P388</f>
        <v>-102593163</v>
      </c>
      <c r="Q394" s="95" t="s">
        <v>607</v>
      </c>
    </row>
    <row r="395" spans="1:18" x14ac:dyDescent="0.2">
      <c r="E395" s="94">
        <v>-85453830</v>
      </c>
      <c r="F395" s="94"/>
      <c r="G395" s="94"/>
      <c r="H395" s="94"/>
      <c r="I395" s="94"/>
      <c r="J395" s="94">
        <v>186669493</v>
      </c>
      <c r="K395" s="94">
        <v>186669493</v>
      </c>
      <c r="L395" s="94"/>
      <c r="M395" s="94"/>
      <c r="N395" s="94"/>
      <c r="O395" s="94"/>
      <c r="P395" s="94">
        <v>101215663</v>
      </c>
      <c r="Q395" s="95" t="s">
        <v>608</v>
      </c>
    </row>
    <row r="396" spans="1:18" x14ac:dyDescent="0.2">
      <c r="E396" s="94">
        <f>E394-E395</f>
        <v>0</v>
      </c>
      <c r="F396" s="94"/>
      <c r="G396" s="94"/>
      <c r="H396" s="94"/>
      <c r="I396" s="94"/>
      <c r="J396" s="94">
        <f>J394+J395</f>
        <v>-1377500</v>
      </c>
      <c r="K396" s="94">
        <f>K394+K395</f>
        <v>-1377500</v>
      </c>
      <c r="L396" s="94"/>
      <c r="M396" s="94"/>
      <c r="N396" s="94"/>
      <c r="O396" s="94"/>
      <c r="P396" s="94">
        <f>P394+P395</f>
        <v>-1377500</v>
      </c>
    </row>
    <row r="397" spans="1:18" x14ac:dyDescent="0.2">
      <c r="E397" s="94">
        <v>0</v>
      </c>
      <c r="F397" s="94"/>
      <c r="G397" s="94"/>
      <c r="H397" s="94"/>
      <c r="I397" s="94"/>
      <c r="J397" s="94">
        <v>-1377500</v>
      </c>
      <c r="K397" s="94">
        <v>-1377500</v>
      </c>
      <c r="L397" s="94"/>
      <c r="M397" s="94"/>
      <c r="N397" s="94"/>
      <c r="O397" s="94"/>
      <c r="P397" s="94">
        <v>-1377500</v>
      </c>
      <c r="Q397" s="2" t="s">
        <v>609</v>
      </c>
    </row>
    <row r="398" spans="1:18" x14ac:dyDescent="0.2">
      <c r="E398" s="94">
        <f>E396+E397</f>
        <v>0</v>
      </c>
      <c r="F398" s="94"/>
      <c r="G398" s="94"/>
      <c r="H398" s="94"/>
      <c r="I398" s="94"/>
      <c r="J398" s="94">
        <f>J396-J397</f>
        <v>0</v>
      </c>
      <c r="K398" s="94">
        <f>K396-K397</f>
        <v>0</v>
      </c>
      <c r="L398" s="94"/>
      <c r="M398" s="94"/>
      <c r="N398" s="94"/>
      <c r="O398" s="94"/>
      <c r="P398" s="94">
        <f>P396-P397</f>
        <v>0</v>
      </c>
    </row>
    <row r="399" spans="1:18" x14ac:dyDescent="0.2"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</row>
    <row r="403" spans="4:4" x14ac:dyDescent="0.2">
      <c r="D403" s="96"/>
    </row>
  </sheetData>
  <mergeCells count="25">
    <mergeCell ref="N2:P2"/>
    <mergeCell ref="N4:P4"/>
    <mergeCell ref="C5:P5"/>
    <mergeCell ref="C6:P6"/>
    <mergeCell ref="O10:O12"/>
    <mergeCell ref="G11:G12"/>
    <mergeCell ref="H11:H12"/>
    <mergeCell ref="J9:O9"/>
    <mergeCell ref="K10:K12"/>
    <mergeCell ref="M10:N10"/>
    <mergeCell ref="P9:P12"/>
    <mergeCell ref="E10:E12"/>
    <mergeCell ref="F10:F12"/>
    <mergeCell ref="N11:N12"/>
    <mergeCell ref="M11:M12"/>
    <mergeCell ref="E9:I9"/>
    <mergeCell ref="G10:H10"/>
    <mergeCell ref="I10:I12"/>
    <mergeCell ref="J10:J12"/>
    <mergeCell ref="A9:A12"/>
    <mergeCell ref="B9:B12"/>
    <mergeCell ref="C9:C12"/>
    <mergeCell ref="D9:D12"/>
    <mergeCell ref="D391:E391"/>
    <mergeCell ref="L10:L12"/>
  </mergeCells>
  <phoneticPr fontId="13" type="noConversion"/>
  <hyperlinks>
    <hyperlink ref="C303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2020-12-28T06:28:15Z</cp:lastPrinted>
  <dcterms:created xsi:type="dcterms:W3CDTF">2016-02-15T14:53:30Z</dcterms:created>
  <dcterms:modified xsi:type="dcterms:W3CDTF">2021-08-16T07:02:15Z</dcterms:modified>
</cp:coreProperties>
</file>